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 1 полугодие" sheetId="1" r:id="rId4"/>
    <sheet state="visible" name="Лист2" sheetId="2" r:id="rId5"/>
    <sheet state="visible" name="Лист1" sheetId="3" r:id="rId6"/>
    <sheet state="visible" name="ФОТ_2024" sheetId="4" r:id="rId7"/>
  </sheets>
  <definedNames/>
  <calcPr/>
</workbook>
</file>

<file path=xl/sharedStrings.xml><?xml version="1.0" encoding="utf-8"?>
<sst xmlns="http://schemas.openxmlformats.org/spreadsheetml/2006/main" count="315" uniqueCount="86">
  <si>
    <t>Утверждена общим собранием ТСН "Эдинбург"</t>
  </si>
  <si>
    <t>Протокол от «26» августа 2024 г. № 28</t>
  </si>
  <si>
    <t>Смета поступлений и расходов по ТСН "ЭДИНБУРГ" на 2024г.</t>
  </si>
  <si>
    <t>Приложение №1 к акту ревизии</t>
  </si>
  <si>
    <t>Общая площадь жилых, коммерческих помещений и паркомест</t>
  </si>
  <si>
    <t>м.кв.</t>
  </si>
  <si>
    <t>%</t>
  </si>
  <si>
    <t xml:space="preserve">Общая площадь  апартаментов </t>
  </si>
  <si>
    <t>Общая площадь квартир</t>
  </si>
  <si>
    <t>Общая площадь коммерческих помещений</t>
  </si>
  <si>
    <t>Общая площадь парковочных мест</t>
  </si>
  <si>
    <t>проезды</t>
  </si>
  <si>
    <t>Апартаменты 1 полугодие</t>
  </si>
  <si>
    <t>Апартаменты 2 полугодие</t>
  </si>
  <si>
    <t>Квартиры 2 полугодие</t>
  </si>
  <si>
    <t>коммерческие помещения 1 полугодие</t>
  </si>
  <si>
    <t>коммерческие помещения 2 полугодие</t>
  </si>
  <si>
    <t>парковочные места 1 полугодие</t>
  </si>
  <si>
    <t>парковочные места 2 полугодие</t>
  </si>
  <si>
    <t>№ п/п</t>
  </si>
  <si>
    <t>Наименование статьи расхода</t>
  </si>
  <si>
    <t>Сумма расхода в месяц  на жил. помещ.  апартаметы,  в рублях</t>
  </si>
  <si>
    <t>Сумма расхода на 1 полугодие 2024г.,  в рублях</t>
  </si>
  <si>
    <t>Стоимость на 1 кв.м. в рублях</t>
  </si>
  <si>
    <t>Сумма расхода на 2 полугодие 2024г.,  в рублях</t>
  </si>
  <si>
    <t>Сумма расхода в месяц  на жил. квартиры,  в рублях</t>
  </si>
  <si>
    <t>Сумма расхода в месяц на коммерч. помещ.,  в рублях</t>
  </si>
  <si>
    <t>Сумма расхода на 1 полугодие 2024 г.,  в рублях</t>
  </si>
  <si>
    <t>Сумма расхода на 2 полугодие 2024 г.,  в рублях</t>
  </si>
  <si>
    <t>Сумма расхода в месяц на паркоместа.,  в рублях</t>
  </si>
  <si>
    <t>Сумма расхода на 1 нолугодие 2024 г.,  в рублях</t>
  </si>
  <si>
    <t>ВСЕГО по дому в месяц</t>
  </si>
  <si>
    <t>ВСЕГО по дому 1 полугодие</t>
  </si>
  <si>
    <t>ВСЕГО по дому 2 полугодие</t>
  </si>
  <si>
    <t>ВСЕГО по дому в год 2024</t>
  </si>
  <si>
    <t>Фактические расходы за 2024год</t>
  </si>
  <si>
    <t>Экономия "-"/Перерасход "+"</t>
  </si>
  <si>
    <t>Ежемесячное банковское обслуживание</t>
  </si>
  <si>
    <t>Аварийно-диспетчерское обслуживание лифтов</t>
  </si>
  <si>
    <t>Освидетельствование лифтов</t>
  </si>
  <si>
    <t>Страхование лифтов</t>
  </si>
  <si>
    <t>Обслуживание пожарной сигнализации, системы пожаротушения и системы дымоудаления</t>
  </si>
  <si>
    <t>Мобильная связь, интернет</t>
  </si>
  <si>
    <t>Вывоз ТБО (Альтфатер)</t>
  </si>
  <si>
    <t>Электроэнергия в местах общего пользования</t>
  </si>
  <si>
    <t>Водопотребеление и водоотведение МОП</t>
  </si>
  <si>
    <t>Заработная плата (Управляющий, администратор, технический работник, дворник, дежурный)</t>
  </si>
  <si>
    <t xml:space="preserve">Аутсорсинговые услуги (бухгалтерия, юридическое, кадровое обслуживание) </t>
  </si>
  <si>
    <t>ГИС ЖКХ, поддержка сайта, лицензия 1С, Сбис</t>
  </si>
  <si>
    <t>Почтовые расходы</t>
  </si>
  <si>
    <t>Обслуживание системы видеонаблюдения</t>
  </si>
  <si>
    <t>Работы по содержанию инженерных сетей дома</t>
  </si>
  <si>
    <t>Хозяйственные расходы (канцелярия, моющие средства, хоз. инвентарь)</t>
  </si>
  <si>
    <t xml:space="preserve">Текущий ремонт дома, в том числе ремонт фасада, </t>
  </si>
  <si>
    <t>Выполнение работ по содержанию дома и придомовой территории, клумбы</t>
  </si>
  <si>
    <t>Обслуживание котельной</t>
  </si>
  <si>
    <t>Оплата потребления газа 8000 м3  *10 руб/м3</t>
  </si>
  <si>
    <t>Котельная окончательный расчет за ремонт</t>
  </si>
  <si>
    <t>ИТОГО: стоимость услуг на 1 м.2 площади 2023</t>
  </si>
  <si>
    <t>Итого поступлений 2024 в 1 полугодии</t>
  </si>
  <si>
    <t>Итого поступлений 2024 во 2 полугодии</t>
  </si>
  <si>
    <t>Итого поступлений  2024 год</t>
  </si>
  <si>
    <t>Председатель правления</t>
  </si>
  <si>
    <t>Кондратович Е.Н.</t>
  </si>
  <si>
    <t>ФОТ расходов на оплату труда на 1 полугодие 2024г.</t>
  </si>
  <si>
    <t>№</t>
  </si>
  <si>
    <t>Должность</t>
  </si>
  <si>
    <t>к-во ставок</t>
  </si>
  <si>
    <t>Оклад (тарифная ставка)</t>
  </si>
  <si>
    <t>Всего</t>
  </si>
  <si>
    <t>Отпуск</t>
  </si>
  <si>
    <t>Страховые взносы с оклада</t>
  </si>
  <si>
    <t>Страх взносы с отпускных</t>
  </si>
  <si>
    <t>ФЗП 1 полугодие</t>
  </si>
  <si>
    <t>ФЗП месяц</t>
  </si>
  <si>
    <t>ФЗП отп</t>
  </si>
  <si>
    <t>Управляющий</t>
  </si>
  <si>
    <t>Дежурный</t>
  </si>
  <si>
    <t>122 (в час)</t>
  </si>
  <si>
    <t>Администратор</t>
  </si>
  <si>
    <t>Технический работник</t>
  </si>
  <si>
    <t>Дворник</t>
  </si>
  <si>
    <t>Разнорабочий</t>
  </si>
  <si>
    <t>Итого по документу</t>
  </si>
  <si>
    <t>ФОТ расходов на оплату труда на 2 полугодие 2024г.</t>
  </si>
  <si>
    <t>ИТОГО ГОД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</si>
</sst>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0"/>
    <numFmt numFmtId="165" formatCode="0.00000"/>
  </numFmts>
  <fonts count="18">
    <font>
      <sz val="11.0"/>
      <color rgb="FF000000"/>
      <name val="Arial"/>
      <scheme val="minor"/>
    </font>
    <font>
      <sz val="10.0"/>
      <name val="Calibri"/>
    </font>
    <font>
      <b/>
      <sz val="10.0"/>
      <name val="Calibri"/>
    </font>
    <font/>
    <font>
      <sz val="9.0"/>
      <color rgb="FF000000"/>
      <name val="Calibri"/>
    </font>
    <font>
      <sz val="11.0"/>
      <color rgb="FFFF0000"/>
      <name val="Calibri"/>
    </font>
    <font>
      <b/>
      <sz val="10.0"/>
      <color rgb="FF000000"/>
      <name val="Calibri"/>
    </font>
    <font>
      <b/>
      <sz val="9.0"/>
      <color rgb="FF000000"/>
      <name val="Calibri"/>
    </font>
    <font>
      <b/>
      <sz val="10.0"/>
      <color rgb="FFFF0000"/>
      <name val="Calibri"/>
    </font>
    <font>
      <sz val="10.0"/>
      <color rgb="FF000000"/>
      <name val="Calibri"/>
    </font>
    <font>
      <sz val="10.0"/>
      <color rgb="FFFF0000"/>
      <name val="Calibri"/>
    </font>
    <font>
      <sz val="9.0"/>
      <name val="Calibri"/>
    </font>
    <font>
      <b/>
      <sz val="10.0"/>
      <color/>
      <name val="Calibri"/>
    </font>
    <font>
      <sz val="11.0"/>
      <color rgb="FF000000"/>
      <name val="Calibri"/>
    </font>
    <font>
      <b/>
      <sz val="11.0"/>
      <color/>
      <name val="Calibri"/>
    </font>
    <font>
      <sz val="10.0"/>
      <color/>
      <name val="Times New Roman"/>
    </font>
    <font>
      <b/>
      <sz val="10.0"/>
      <color/>
      <name val="Times New Roman"/>
    </font>
    <font>
      <b/>
      <sz val="11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BD4B4"/>
        <bgColor rgb="FFFBD4B4"/>
      </patternFill>
    </fill>
    <fill>
      <patternFill patternType="solid">
        <fgColor rgb="FFFF0000"/>
        <bgColor rgb="FFFF0000"/>
      </patternFill>
    </fill>
    <fill>
      <patternFill patternType="solid">
        <fgColor rgb="FF95B3D7"/>
        <bgColor rgb="FF95B3D7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center" vertical="center"/>
    </xf>
    <xf borderId="0" fillId="0" fontId="1" numFmtId="164" xfId="0" applyFont="1" applyNumberFormat="1"/>
    <xf borderId="0" fillId="0" fontId="1" numFmtId="165" xfId="0" applyFont="1" applyNumberFormat="1"/>
    <xf borderId="0" fillId="0" fontId="1" numFmtId="2" xfId="0" applyFont="1" applyNumberFormat="1"/>
    <xf borderId="1" fillId="0" fontId="2" numFmtId="0" xfId="0" applyAlignment="1" applyBorder="1" applyFont="1">
      <alignment horizontal="center" vertical="center"/>
    </xf>
    <xf borderId="1" fillId="0" fontId="2" numFmtId="0" xfId="0" applyBorder="1" applyFont="1"/>
    <xf borderId="2" fillId="0" fontId="2" numFmtId="0" xfId="0" applyAlignment="1" applyBorder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2" fillId="0" fontId="2" numFmtId="0" xfId="0" applyBorder="1" applyFont="1"/>
    <xf borderId="1" fillId="0" fontId="2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left" shrinkToFit="0" vertical="center" wrapText="1"/>
    </xf>
    <xf borderId="1" fillId="0" fontId="1" numFmtId="2" xfId="0" applyBorder="1" applyFont="1" applyNumberFormat="1"/>
    <xf borderId="1" fillId="0" fontId="2" numFmtId="0" xfId="0" applyAlignment="1" applyBorder="1" applyFont="1">
      <alignment horizontal="left" shrinkToFit="0" vertical="center" wrapText="1"/>
    </xf>
    <xf borderId="1" fillId="0" fontId="2" numFmtId="2" xfId="0" applyBorder="1" applyFont="1" applyNumberFormat="1"/>
    <xf borderId="1" fillId="0" fontId="1" numFmtId="0" xfId="0" applyBorder="1" applyFont="1"/>
    <xf borderId="5" fillId="0" fontId="1" numFmtId="0" xfId="0" applyBorder="1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vertical="center"/>
    </xf>
    <xf borderId="1" fillId="0" fontId="7" numFmtId="0" xfId="0" applyBorder="1" applyFont="1"/>
    <xf borderId="2" fillId="2" fontId="6" numFmtId="0" xfId="0" applyAlignment="1" applyBorder="1" applyFill="1" applyFont="1">
      <alignment horizontal="center"/>
    </xf>
    <xf borderId="1" fillId="0" fontId="6" numFmtId="0" xfId="0" applyBorder="1" applyFont="1"/>
    <xf borderId="2" fillId="3" fontId="6" numFmtId="0" xfId="0" applyAlignment="1" applyBorder="1" applyFill="1" applyFont="1">
      <alignment horizontal="center"/>
    </xf>
    <xf borderId="2" fillId="0" fontId="6" numFmtId="0" xfId="0" applyBorder="1" applyFont="1"/>
    <xf borderId="2" fillId="4" fontId="6" numFmtId="0" xfId="0" applyAlignment="1" applyBorder="1" applyFill="1" applyFont="1">
      <alignment horizontal="center"/>
    </xf>
    <xf borderId="1" fillId="0" fontId="6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5" fontId="6" numFmtId="0" xfId="0" applyAlignment="1" applyBorder="1" applyFill="1" applyFont="1">
      <alignment horizontal="center" shrinkToFit="0" vertical="center" wrapText="1"/>
    </xf>
    <xf borderId="1" fillId="5" fontId="8" numFmtId="0" xfId="0" applyAlignment="1" applyBorder="1" applyFont="1">
      <alignment horizontal="center" shrinkToFit="0" vertical="center" wrapText="1"/>
    </xf>
    <xf borderId="1" fillId="6" fontId="6" numFmtId="0" xfId="0" applyAlignment="1" applyBorder="1" applyFill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left" shrinkToFit="0" vertical="center" wrapText="1"/>
    </xf>
    <xf borderId="1" fillId="0" fontId="9" numFmtId="2" xfId="0" applyBorder="1" applyFont="1" applyNumberFormat="1"/>
    <xf borderId="1" fillId="0" fontId="10" numFmtId="2" xfId="0" applyBorder="1" applyFont="1" applyNumberFormat="1"/>
    <xf borderId="1" fillId="0" fontId="10" numFmtId="2" xfId="0" applyBorder="1" applyFont="1" applyNumberFormat="1"/>
    <xf borderId="1" fillId="0" fontId="9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left" shrinkToFit="0" vertical="center" wrapText="1"/>
    </xf>
    <xf borderId="1" fillId="0" fontId="9" numFmtId="2" xfId="0" applyBorder="1" applyFont="1" applyNumberFormat="1"/>
    <xf borderId="1" fillId="0" fontId="10" numFmtId="2" xfId="0" applyBorder="1" applyFont="1" applyNumberFormat="1"/>
    <xf borderId="1" fillId="2" fontId="9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left" shrinkToFit="0" vertical="center" wrapText="1"/>
    </xf>
    <xf borderId="1" fillId="2" fontId="9" numFmtId="2" xfId="0" applyBorder="1" applyFont="1" applyNumberFormat="1"/>
    <xf borderId="1" fillId="2" fontId="10" numFmtId="2" xfId="0" applyBorder="1" applyFont="1" applyNumberFormat="1"/>
    <xf borderId="1" fillId="4" fontId="9" numFmtId="0" xfId="0" applyAlignment="1" applyBorder="1" applyFont="1">
      <alignment horizontal="center" vertical="center"/>
    </xf>
    <xf borderId="1" fillId="4" fontId="4" numFmtId="0" xfId="0" applyAlignment="1" applyBorder="1" applyFont="1">
      <alignment horizontal="left" shrinkToFit="0" vertical="center" wrapText="1"/>
    </xf>
    <xf borderId="1" fillId="4" fontId="9" numFmtId="2" xfId="0" applyBorder="1" applyFont="1" applyNumberFormat="1"/>
    <xf borderId="1" fillId="4" fontId="10" numFmtId="2" xfId="0" applyBorder="1" applyFont="1" applyNumberFormat="1"/>
    <xf borderId="1" fillId="0" fontId="1" numFmtId="0" xfId="0" applyAlignment="1" applyBorder="1" applyFont="1">
      <alignment horizontal="center" vertical="center"/>
    </xf>
    <xf borderId="1" fillId="0" fontId="11" numFmtId="0" xfId="0" applyAlignment="1" applyBorder="1" applyFont="1">
      <alignment horizontal="left" shrinkToFit="0" vertical="center" wrapText="1"/>
    </xf>
    <xf borderId="1" fillId="0" fontId="1" numFmtId="2" xfId="0" applyBorder="1" applyFont="1" applyNumberFormat="1"/>
    <xf borderId="1" fillId="0" fontId="6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left" shrinkToFit="0" vertical="center" wrapText="1"/>
    </xf>
    <xf borderId="1" fillId="0" fontId="6" numFmtId="2" xfId="0" applyBorder="1" applyFont="1" applyNumberFormat="1"/>
    <xf borderId="1" fillId="0" fontId="8" numFmtId="2" xfId="0" applyBorder="1" applyFont="1" applyNumberFormat="1"/>
    <xf borderId="1" fillId="7" fontId="12" numFmtId="2" xfId="0" applyBorder="1" applyFill="1" applyFont="1" applyNumberFormat="1"/>
    <xf borderId="1" fillId="0" fontId="8" numFmtId="2" xfId="0" applyBorder="1" applyFont="1" applyNumberFormat="1"/>
    <xf borderId="6" fillId="0" fontId="13" numFmtId="0" xfId="0" applyBorder="1" applyFont="1"/>
    <xf borderId="0" fillId="0" fontId="14" numFmtId="0" xfId="0" applyAlignment="1" applyFont="1">
      <alignment horizontal="center"/>
    </xf>
    <xf borderId="1" fillId="0" fontId="13" numFmtId="0" xfId="0" applyBorder="1" applyFont="1"/>
    <xf borderId="1" fillId="0" fontId="14" numFmtId="0" xfId="0" applyAlignment="1" applyBorder="1" applyFont="1">
      <alignment horizontal="center" vertical="center"/>
    </xf>
    <xf borderId="1" fillId="0" fontId="14" numFmtId="0" xfId="0" applyAlignment="1" applyBorder="1" applyFont="1">
      <alignment horizontal="center" shrinkToFit="0" vertical="center" wrapText="1"/>
    </xf>
    <xf borderId="1" fillId="2" fontId="14" numFmtId="0" xfId="0" applyAlignment="1" applyBorder="1" applyFont="1">
      <alignment horizontal="center" vertical="center"/>
    </xf>
    <xf borderId="1" fillId="0" fontId="15" numFmtId="0" xfId="0" applyAlignment="1" applyBorder="1" applyFont="1">
      <alignment shrinkToFit="0" vertical="center" wrapText="1"/>
    </xf>
    <xf borderId="1" fillId="0" fontId="15" numFmtId="0" xfId="0" applyAlignment="1" applyBorder="1" applyFont="1">
      <alignment horizontal="center" shrinkToFit="0" vertical="center" wrapText="1"/>
    </xf>
    <xf borderId="1" fillId="0" fontId="15" numFmtId="4" xfId="0" applyAlignment="1" applyBorder="1" applyFont="1" applyNumberFormat="1">
      <alignment horizontal="center" shrinkToFit="0" vertical="center" wrapText="1"/>
    </xf>
    <xf borderId="1" fillId="2" fontId="13" numFmtId="4" xfId="0" applyBorder="1" applyFont="1" applyNumberFormat="1"/>
    <xf borderId="1" fillId="0" fontId="15" numFmtId="4" xfId="0" applyAlignment="1" applyBorder="1" applyFont="1" applyNumberFormat="1">
      <alignment horizontal="right" shrinkToFit="0" vertical="center" wrapText="1"/>
    </xf>
    <xf borderId="1" fillId="0" fontId="15" numFmtId="2" xfId="0" applyAlignment="1" applyBorder="1" applyFont="1" applyNumberFormat="1">
      <alignment horizontal="center" shrinkToFit="0" vertical="center" wrapText="1"/>
    </xf>
    <xf borderId="1" fillId="0" fontId="15" numFmtId="0" xfId="0" applyAlignment="1" applyBorder="1" applyFont="1">
      <alignment shrinkToFit="0" vertical="center" wrapText="1"/>
    </xf>
    <xf borderId="1" fillId="0" fontId="14" numFmtId="0" xfId="0" applyBorder="1" applyFont="1"/>
    <xf borderId="1" fillId="8" fontId="16" numFmtId="0" xfId="0" applyAlignment="1" applyBorder="1" applyFill="1" applyFont="1">
      <alignment horizontal="left" shrinkToFit="0" vertical="center" wrapText="1"/>
    </xf>
    <xf borderId="1" fillId="8" fontId="16" numFmtId="0" xfId="0" applyAlignment="1" applyBorder="1" applyFont="1">
      <alignment horizontal="center" shrinkToFit="0" vertical="center" wrapText="1"/>
    </xf>
    <xf borderId="1" fillId="8" fontId="16" numFmtId="2" xfId="0" applyAlignment="1" applyBorder="1" applyFont="1" applyNumberFormat="1">
      <alignment horizontal="center" shrinkToFit="0" vertical="center" wrapText="1"/>
    </xf>
    <xf borderId="1" fillId="8" fontId="14" numFmtId="2" xfId="0" applyBorder="1" applyFont="1" applyNumberFormat="1"/>
    <xf borderId="0" fillId="0" fontId="14" numFmtId="0" xfId="0" applyFont="1"/>
    <xf borderId="1" fillId="2" fontId="15" numFmtId="0" xfId="0" applyAlignment="1" applyBorder="1" applyFont="1">
      <alignment shrinkToFit="0" vertical="center" wrapText="1"/>
    </xf>
    <xf borderId="1" fillId="0" fontId="17" numFmtId="0" xfId="0" applyBorder="1" applyFont="1"/>
    <xf borderId="1" fillId="0" fontId="17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43.86"/>
    <col customWidth="1" min="3" max="4" width="11.86"/>
    <col customWidth="1" min="5" max="5" width="6.43"/>
    <col customWidth="1" hidden="1" min="6" max="6" width="10.57"/>
    <col customWidth="1" min="7" max="7" width="10.57"/>
    <col customWidth="1" min="8" max="8" width="12.0"/>
    <col customWidth="1" min="9" max="9" width="6.71"/>
    <col customWidth="1" hidden="1" min="10" max="10" width="10.57"/>
    <col customWidth="1" hidden="1" min="11" max="11" width="9.14"/>
    <col customWidth="1" min="12" max="12" width="10.14"/>
    <col customWidth="1" min="13" max="13" width="11.0"/>
    <col customWidth="1" min="14" max="14" width="9.14"/>
    <col customWidth="1" hidden="1" min="15" max="16" width="9.14"/>
    <col customWidth="1" min="17" max="17" width="9.29"/>
    <col customWidth="1" min="18" max="18" width="10.43"/>
    <col customWidth="1" min="19" max="19" width="8.0"/>
    <col customWidth="1" min="20" max="20" width="7.71"/>
    <col customWidth="1" min="21" max="22" width="10.57"/>
    <col customWidth="1" min="23" max="23" width="7.0"/>
    <col customWidth="1" hidden="1" min="24" max="24" width="10.57"/>
    <col customWidth="1" hidden="1" min="25" max="25" width="8.71"/>
    <col customWidth="1" min="26" max="26" width="10.29"/>
    <col customWidth="1" min="27" max="27" width="9.86"/>
    <col customWidth="1" min="28" max="28" width="7.0"/>
    <col customWidth="1" hidden="1" min="29" max="29" width="9.57"/>
    <col customWidth="1" min="30" max="31" width="9.57"/>
    <col customWidth="1" min="32" max="32" width="7.14"/>
    <col customWidth="1" hidden="1" min="33" max="33" width="9.57"/>
    <col customWidth="1" hidden="1" min="34" max="34" width="9.14"/>
    <col customWidth="1" min="35" max="35" width="10.71"/>
    <col customWidth="1" min="36" max="37" width="12.0"/>
    <col customWidth="1" min="38" max="38" width="15.71"/>
    <col customWidth="1" min="39" max="39" width="11.29"/>
    <col customWidth="1" min="40" max="40" width="12.71"/>
  </cols>
  <sheetData>
    <row r="1" ht="12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ht="12.7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 t="s">
        <v>0</v>
      </c>
      <c r="AA2" s="3"/>
      <c r="AB2" s="3"/>
      <c r="AC2" s="3"/>
      <c r="AD2" s="3"/>
      <c r="AE2" s="3"/>
      <c r="AF2" s="3"/>
      <c r="AG2" s="3"/>
      <c r="AH2" s="3"/>
      <c r="AI2" s="2"/>
      <c r="AJ2" s="2"/>
      <c r="AK2" s="2"/>
      <c r="AL2" s="2"/>
      <c r="AM2" s="2"/>
      <c r="AN2" s="2"/>
    </row>
    <row r="3" ht="12.7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 t="s">
        <v>1</v>
      </c>
      <c r="AA3" s="3"/>
      <c r="AB3" s="3"/>
      <c r="AC3" s="3"/>
      <c r="AD3" s="3"/>
      <c r="AE3" s="3"/>
      <c r="AF3" s="3"/>
      <c r="AG3" s="3"/>
      <c r="AH3" s="3"/>
      <c r="AI3" s="2"/>
      <c r="AJ3" s="2"/>
      <c r="AK3" s="2"/>
      <c r="AL3" s="2"/>
      <c r="AM3" s="2"/>
      <c r="AN3" s="2"/>
    </row>
    <row r="4" ht="12.75" customHeight="1">
      <c r="A4" s="1"/>
      <c r="B4" s="3" t="s">
        <v>2</v>
      </c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ht="12.7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 t="s">
        <v>3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ht="12.75" customHeight="1">
      <c r="A6" s="4"/>
      <c r="B6" s="3" t="s">
        <v>4</v>
      </c>
      <c r="C6" s="3" t="str">
        <f>C7+C9+C10+C8</f>
        <v>10260.2</v>
      </c>
      <c r="D6" s="3" t="s">
        <v>5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>
        <v>100.0</v>
      </c>
      <c r="R6" s="3" t="s">
        <v>6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ht="12.75" customHeight="1">
      <c r="A7" s="1"/>
      <c r="B7" s="2" t="s">
        <v>7</v>
      </c>
      <c r="C7" s="2">
        <v>7204.0</v>
      </c>
      <c r="D7" s="2" t="s">
        <v>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5" t="str">
        <f>C7*Q6/C6</f>
        <v>70.2131</v>
      </c>
      <c r="R7" s="2" t="s">
        <v>6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ht="12.75" customHeight="1">
      <c r="A8" s="1"/>
      <c r="B8" s="2" t="s">
        <v>8</v>
      </c>
      <c r="C8" s="2">
        <v>487.0</v>
      </c>
      <c r="D8" s="2" t="s">
        <v>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ht="12.75" customHeight="1">
      <c r="A9" s="1"/>
      <c r="B9" s="2" t="s">
        <v>9</v>
      </c>
      <c r="C9" s="2">
        <v>1841.1</v>
      </c>
      <c r="D9" s="2" t="s">
        <v>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6" t="str">
        <f>C9*100/C6</f>
        <v>17.94409</v>
      </c>
      <c r="R9" s="2" t="s">
        <v>6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ht="12.75" customHeight="1">
      <c r="A10" s="1"/>
      <c r="B10" s="2" t="s">
        <v>10</v>
      </c>
      <c r="C10" s="2">
        <v>728.1</v>
      </c>
      <c r="D10" s="2" t="s">
        <v>5</v>
      </c>
      <c r="E10" s="2">
        <v>728.1</v>
      </c>
      <c r="F10" s="2" t="str">
        <f>E10-C10</f>
        <v>0</v>
      </c>
      <c r="G10" s="2"/>
      <c r="H10" s="2"/>
      <c r="I10" s="2"/>
      <c r="J10" s="2"/>
      <c r="K10" s="2" t="s">
        <v>11</v>
      </c>
      <c r="L10" s="2"/>
      <c r="M10" s="2"/>
      <c r="N10" s="2"/>
      <c r="O10" s="2"/>
      <c r="P10" s="2"/>
      <c r="Q10" s="7" t="str">
        <f>E10*100/C6</f>
        <v>7.10</v>
      </c>
      <c r="R10" s="2" t="s">
        <v>6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ht="12.75" customHeight="1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 t="str">
        <f>C8*100/C6</f>
        <v>4.74649617</v>
      </c>
      <c r="R11" s="2" t="s">
        <v>6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ht="12.75" customHeight="1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ht="12.75" customHeight="1">
      <c r="A13" s="8"/>
      <c r="B13" s="9"/>
      <c r="C13" s="10" t="s">
        <v>12</v>
      </c>
      <c r="D13" s="11"/>
      <c r="E13" s="11"/>
      <c r="F13" s="12"/>
      <c r="G13" s="10" t="s">
        <v>13</v>
      </c>
      <c r="H13" s="11"/>
      <c r="I13" s="11"/>
      <c r="J13" s="12"/>
      <c r="K13" s="9"/>
      <c r="L13" s="10" t="s">
        <v>14</v>
      </c>
      <c r="M13" s="11"/>
      <c r="N13" s="11"/>
      <c r="O13" s="12"/>
      <c r="P13" s="9"/>
      <c r="Q13" s="10" t="s">
        <v>15</v>
      </c>
      <c r="R13" s="11"/>
      <c r="S13" s="11"/>
      <c r="T13" s="12"/>
      <c r="U13" s="10" t="s">
        <v>16</v>
      </c>
      <c r="V13" s="11"/>
      <c r="W13" s="11"/>
      <c r="X13" s="12"/>
      <c r="Y13" s="13"/>
      <c r="Z13" s="10" t="s">
        <v>17</v>
      </c>
      <c r="AA13" s="11"/>
      <c r="AB13" s="11"/>
      <c r="AC13" s="12"/>
      <c r="AD13" s="10" t="s">
        <v>18</v>
      </c>
      <c r="AE13" s="11"/>
      <c r="AF13" s="11"/>
      <c r="AG13" s="12"/>
      <c r="AH13" s="9"/>
      <c r="AI13" s="9"/>
      <c r="AJ13" s="9"/>
      <c r="AK13" s="9"/>
      <c r="AL13" s="9"/>
      <c r="AM13" s="9"/>
      <c r="AN13" s="9"/>
    </row>
    <row r="14" ht="12.75" customHeight="1">
      <c r="A14" s="14" t="s">
        <v>19</v>
      </c>
      <c r="B14" s="14" t="s">
        <v>20</v>
      </c>
      <c r="C14" s="14" t="s">
        <v>21</v>
      </c>
      <c r="D14" s="14" t="s">
        <v>22</v>
      </c>
      <c r="E14" s="14" t="s">
        <v>23</v>
      </c>
      <c r="F14" s="9"/>
      <c r="G14" s="14" t="s">
        <v>21</v>
      </c>
      <c r="H14" s="14" t="s">
        <v>24</v>
      </c>
      <c r="I14" s="14" t="s">
        <v>23</v>
      </c>
      <c r="J14" s="9"/>
      <c r="K14" s="9"/>
      <c r="L14" s="14" t="s">
        <v>25</v>
      </c>
      <c r="M14" s="14" t="s">
        <v>24</v>
      </c>
      <c r="N14" s="14" t="s">
        <v>23</v>
      </c>
      <c r="O14" s="9"/>
      <c r="P14" s="9"/>
      <c r="Q14" s="14" t="s">
        <v>26</v>
      </c>
      <c r="R14" s="14" t="s">
        <v>27</v>
      </c>
      <c r="S14" s="14" t="s">
        <v>23</v>
      </c>
      <c r="T14" s="9"/>
      <c r="U14" s="14" t="s">
        <v>26</v>
      </c>
      <c r="V14" s="14" t="s">
        <v>28</v>
      </c>
      <c r="W14" s="14" t="s">
        <v>23</v>
      </c>
      <c r="X14" s="9"/>
      <c r="Y14" s="9"/>
      <c r="Z14" s="14" t="s">
        <v>29</v>
      </c>
      <c r="AA14" s="14" t="s">
        <v>30</v>
      </c>
      <c r="AB14" s="14" t="s">
        <v>23</v>
      </c>
      <c r="AC14" s="9"/>
      <c r="AD14" s="14" t="s">
        <v>29</v>
      </c>
      <c r="AE14" s="14" t="s">
        <v>28</v>
      </c>
      <c r="AF14" s="14" t="s">
        <v>23</v>
      </c>
      <c r="AG14" s="9"/>
      <c r="AH14" s="9"/>
      <c r="AI14" s="14" t="s">
        <v>31</v>
      </c>
      <c r="AJ14" s="14" t="s">
        <v>32</v>
      </c>
      <c r="AK14" s="14" t="s">
        <v>33</v>
      </c>
      <c r="AL14" s="14" t="s">
        <v>34</v>
      </c>
      <c r="AM14" s="15" t="s">
        <v>35</v>
      </c>
      <c r="AN14" s="16" t="s">
        <v>36</v>
      </c>
    </row>
    <row r="15" ht="12.75" customHeight="1">
      <c r="A15" s="17">
        <v>1.0</v>
      </c>
      <c r="B15" s="18" t="s">
        <v>37</v>
      </c>
      <c r="C15" s="19" t="str">
        <f t="shared" ref="C15:C35" si="1">D15/6</f>
        <v>1999.66</v>
      </c>
      <c r="D15" s="19" t="str">
        <f t="shared" ref="D15:D35" si="2">E15*7691*6</f>
        <v>11997.96</v>
      </c>
      <c r="E15" s="19">
        <v>0.26</v>
      </c>
      <c r="F15" s="19">
        <v>74.95955244537143</v>
      </c>
      <c r="G15" s="19" t="str">
        <f t="shared" ref="G15:G35" si="3">H15/6</f>
        <v>1945.08</v>
      </c>
      <c r="H15" s="19" t="str">
        <f t="shared" ref="H15:H35" si="4">I15*7204*6</f>
        <v>11670.48</v>
      </c>
      <c r="I15" s="19">
        <v>0.27</v>
      </c>
      <c r="J15" s="19">
        <v>70.2131</v>
      </c>
      <c r="K15" s="19" t="s">
        <v>6</v>
      </c>
      <c r="L15" s="19" t="str">
        <f t="shared" ref="L15:L35" si="5">M15/6</f>
        <v>116.88</v>
      </c>
      <c r="M15" s="19" t="str">
        <f t="shared" ref="M15:M35" si="6">N15*487*6</f>
        <v>701.28</v>
      </c>
      <c r="N15" s="19">
        <v>0.24</v>
      </c>
      <c r="O15" s="19">
        <v>4.7468</v>
      </c>
      <c r="P15" s="19" t="s">
        <v>6</v>
      </c>
      <c r="Q15" s="19" t="str">
        <f t="shared" ref="Q15:Q35" si="7">R15/6</f>
        <v>478.69</v>
      </c>
      <c r="R15" s="19" t="str">
        <f t="shared" ref="R15:R35" si="8">S15*1841.1*6</f>
        <v>2872.12</v>
      </c>
      <c r="S15" s="19">
        <v>0.26</v>
      </c>
      <c r="T15" s="19">
        <v>17.944094657024227</v>
      </c>
      <c r="U15" s="19" t="str">
        <f t="shared" ref="U15:U35" si="9">V15/6</f>
        <v>497.10</v>
      </c>
      <c r="V15" s="19" t="str">
        <f t="shared" ref="V15:V35" si="10">W15*1841.1*6</f>
        <v>2982.58</v>
      </c>
      <c r="W15" s="19">
        <v>0.27</v>
      </c>
      <c r="X15" s="19"/>
      <c r="Y15" s="19" t="s">
        <v>6</v>
      </c>
      <c r="Z15" s="19" t="str">
        <f t="shared" ref="Z15:Z35" si="11">AA15/6</f>
        <v>291.24</v>
      </c>
      <c r="AA15" s="19" t="str">
        <f t="shared" ref="AA15:AA35" si="12">AB15*728.1*6</f>
        <v>1747.44</v>
      </c>
      <c r="AB15" s="19">
        <v>0.4</v>
      </c>
      <c r="AC15" s="19">
        <v>7.1</v>
      </c>
      <c r="AD15" s="19" t="str">
        <f t="shared" ref="AD15:AD35" si="13">AE15/6</f>
        <v>298.52</v>
      </c>
      <c r="AE15" s="19" t="str">
        <f t="shared" ref="AE15:AE35" si="14">AF15*728.1*6</f>
        <v>1791.13</v>
      </c>
      <c r="AF15" s="19">
        <v>0.41</v>
      </c>
      <c r="AG15" s="19">
        <v>6.1</v>
      </c>
      <c r="AH15" s="19" t="s">
        <v>6</v>
      </c>
      <c r="AI15" s="19" t="str">
        <f t="shared" ref="AI15:AI36" si="15">AL15/12</f>
        <v>2813.58</v>
      </c>
      <c r="AJ15" s="19" t="str">
        <f t="shared" ref="AJ15:AJ35" si="16">SUM(D15+R15+AA15)</f>
        <v>16617.52</v>
      </c>
      <c r="AK15" s="19" t="str">
        <f t="shared" ref="AK15:AK35" si="17">SUM(H15+M15+V15+AE15)</f>
        <v>17145.47</v>
      </c>
      <c r="AL15" s="19" t="str">
        <f t="shared" ref="AL15:AL36" si="18">SUM(AJ15+AK15)</f>
        <v>33762.98</v>
      </c>
      <c r="AM15" s="19">
        <v>14382.43</v>
      </c>
      <c r="AN15" s="19" t="str">
        <f t="shared" ref="AN15:AN35" si="19">AM15-AL15</f>
        <v>-19380.55</v>
      </c>
    </row>
    <row r="16" ht="12.75" customHeight="1">
      <c r="A16" s="17">
        <v>2.0</v>
      </c>
      <c r="B16" s="18" t="s">
        <v>38</v>
      </c>
      <c r="C16" s="19" t="str">
        <f t="shared" si="1"/>
        <v>8383.19</v>
      </c>
      <c r="D16" s="19" t="str">
        <f t="shared" si="2"/>
        <v>50299.14</v>
      </c>
      <c r="E16" s="19">
        <v>1.09</v>
      </c>
      <c r="F16" s="19">
        <v>74.95955244537143</v>
      </c>
      <c r="G16" s="19" t="str">
        <f t="shared" si="3"/>
        <v>8212.56</v>
      </c>
      <c r="H16" s="19" t="str">
        <f t="shared" si="4"/>
        <v>49275.36</v>
      </c>
      <c r="I16" s="19">
        <v>1.14</v>
      </c>
      <c r="J16" s="19">
        <v>70.2131</v>
      </c>
      <c r="K16" s="19" t="s">
        <v>6</v>
      </c>
      <c r="L16" s="19" t="str">
        <f t="shared" si="5"/>
        <v>501.61</v>
      </c>
      <c r="M16" s="19" t="str">
        <f t="shared" si="6"/>
        <v>3009.66</v>
      </c>
      <c r="N16" s="19">
        <v>1.03</v>
      </c>
      <c r="O16" s="19">
        <v>4.7468</v>
      </c>
      <c r="P16" s="19" t="s">
        <v>6</v>
      </c>
      <c r="Q16" s="19" t="str">
        <f t="shared" si="7"/>
        <v>2006.80</v>
      </c>
      <c r="R16" s="19" t="str">
        <f t="shared" si="8"/>
        <v>12040.79</v>
      </c>
      <c r="S16" s="19">
        <v>1.09</v>
      </c>
      <c r="T16" s="19">
        <v>17.944094657024227</v>
      </c>
      <c r="U16" s="19" t="str">
        <f t="shared" si="9"/>
        <v>2098.85</v>
      </c>
      <c r="V16" s="19" t="str">
        <f t="shared" si="10"/>
        <v>12593.12</v>
      </c>
      <c r="W16" s="19">
        <v>1.14</v>
      </c>
      <c r="X16" s="19"/>
      <c r="Y16" s="19" t="s">
        <v>6</v>
      </c>
      <c r="Z16" s="19" t="str">
        <f t="shared" si="11"/>
        <v>1223.21</v>
      </c>
      <c r="AA16" s="19" t="str">
        <f t="shared" si="12"/>
        <v>7339.25</v>
      </c>
      <c r="AB16" s="19">
        <v>1.68</v>
      </c>
      <c r="AC16" s="19">
        <v>7.1</v>
      </c>
      <c r="AD16" s="19" t="str">
        <f t="shared" si="13"/>
        <v>1252.33</v>
      </c>
      <c r="AE16" s="19" t="str">
        <f t="shared" si="14"/>
        <v>7513.99</v>
      </c>
      <c r="AF16" s="19">
        <v>1.72</v>
      </c>
      <c r="AG16" s="19">
        <v>6.1</v>
      </c>
      <c r="AH16" s="19" t="s">
        <v>6</v>
      </c>
      <c r="AI16" s="19" t="str">
        <f t="shared" si="15"/>
        <v>11839.28</v>
      </c>
      <c r="AJ16" s="19" t="str">
        <f t="shared" si="16"/>
        <v>69679.18</v>
      </c>
      <c r="AK16" s="19" t="str">
        <f t="shared" si="17"/>
        <v>72392.14</v>
      </c>
      <c r="AL16" s="19" t="str">
        <f t="shared" si="18"/>
        <v>142071.32</v>
      </c>
      <c r="AM16" s="19">
        <v>142071.32</v>
      </c>
      <c r="AN16" s="19" t="str">
        <f t="shared" si="19"/>
        <v>0.00</v>
      </c>
    </row>
    <row r="17" ht="12.75" customHeight="1">
      <c r="A17" s="17">
        <v>3.0</v>
      </c>
      <c r="B17" s="18" t="s">
        <v>39</v>
      </c>
      <c r="C17" s="19" t="str">
        <f t="shared" si="1"/>
        <v>922.92</v>
      </c>
      <c r="D17" s="19" t="str">
        <f t="shared" si="2"/>
        <v>5537.52</v>
      </c>
      <c r="E17" s="19">
        <v>0.12</v>
      </c>
      <c r="F17" s="19">
        <v>74.95955244537143</v>
      </c>
      <c r="G17" s="19" t="str">
        <f t="shared" si="3"/>
        <v>936.52</v>
      </c>
      <c r="H17" s="19" t="str">
        <f t="shared" si="4"/>
        <v>5619.12</v>
      </c>
      <c r="I17" s="19">
        <v>0.13</v>
      </c>
      <c r="J17" s="19">
        <v>70.2131</v>
      </c>
      <c r="K17" s="19" t="s">
        <v>6</v>
      </c>
      <c r="L17" s="19" t="str">
        <f t="shared" si="5"/>
        <v>58.44</v>
      </c>
      <c r="M17" s="19" t="str">
        <f t="shared" si="6"/>
        <v>350.64</v>
      </c>
      <c r="N17" s="19">
        <v>0.12</v>
      </c>
      <c r="O17" s="19">
        <v>4.7468</v>
      </c>
      <c r="P17" s="19" t="s">
        <v>6</v>
      </c>
      <c r="Q17" s="19" t="str">
        <f t="shared" si="7"/>
        <v>220.93</v>
      </c>
      <c r="R17" s="19" t="str">
        <f t="shared" si="8"/>
        <v>1325.59</v>
      </c>
      <c r="S17" s="19">
        <v>0.12</v>
      </c>
      <c r="T17" s="19">
        <v>17.944094657024227</v>
      </c>
      <c r="U17" s="19" t="str">
        <f t="shared" si="9"/>
        <v>239.34</v>
      </c>
      <c r="V17" s="19" t="str">
        <f t="shared" si="10"/>
        <v>1436.06</v>
      </c>
      <c r="W17" s="19">
        <v>0.13</v>
      </c>
      <c r="X17" s="19"/>
      <c r="Y17" s="19" t="s">
        <v>6</v>
      </c>
      <c r="Z17" s="19" t="str">
        <f t="shared" si="11"/>
        <v>138.34</v>
      </c>
      <c r="AA17" s="19" t="str">
        <f t="shared" si="12"/>
        <v>830.03</v>
      </c>
      <c r="AB17" s="19">
        <v>0.19</v>
      </c>
      <c r="AC17" s="19">
        <v>7.1</v>
      </c>
      <c r="AD17" s="19" t="str">
        <f t="shared" si="13"/>
        <v>138.34</v>
      </c>
      <c r="AE17" s="19" t="str">
        <f t="shared" si="14"/>
        <v>830.03</v>
      </c>
      <c r="AF17" s="19">
        <v>0.19</v>
      </c>
      <c r="AG17" s="19">
        <v>6.1</v>
      </c>
      <c r="AH17" s="19" t="s">
        <v>6</v>
      </c>
      <c r="AI17" s="19" t="str">
        <f t="shared" si="15"/>
        <v>1327.42</v>
      </c>
      <c r="AJ17" s="19" t="str">
        <f t="shared" si="16"/>
        <v>7693.15</v>
      </c>
      <c r="AK17" s="19" t="str">
        <f t="shared" si="17"/>
        <v>8235.85</v>
      </c>
      <c r="AL17" s="19" t="str">
        <f t="shared" si="18"/>
        <v>15929.00</v>
      </c>
      <c r="AM17" s="19">
        <v>15929.0</v>
      </c>
      <c r="AN17" s="19" t="str">
        <f t="shared" si="19"/>
        <v>0.00</v>
      </c>
    </row>
    <row r="18" ht="12.75" customHeight="1">
      <c r="A18" s="17">
        <v>4.0</v>
      </c>
      <c r="B18" s="18" t="s">
        <v>40</v>
      </c>
      <c r="C18" s="19" t="str">
        <f t="shared" si="1"/>
        <v>384.55</v>
      </c>
      <c r="D18" s="19" t="str">
        <f t="shared" si="2"/>
        <v>2307.30</v>
      </c>
      <c r="E18" s="19">
        <v>0.05</v>
      </c>
      <c r="F18" s="19">
        <v>74.95955244537143</v>
      </c>
      <c r="G18" s="19" t="str">
        <f t="shared" si="3"/>
        <v>360.20</v>
      </c>
      <c r="H18" s="19" t="str">
        <f t="shared" si="4"/>
        <v>2161.20</v>
      </c>
      <c r="I18" s="19">
        <v>0.05</v>
      </c>
      <c r="J18" s="19">
        <v>70.2131</v>
      </c>
      <c r="K18" s="19" t="s">
        <v>6</v>
      </c>
      <c r="L18" s="19" t="str">
        <f t="shared" si="5"/>
        <v>24.35</v>
      </c>
      <c r="M18" s="19" t="str">
        <f t="shared" si="6"/>
        <v>146.10</v>
      </c>
      <c r="N18" s="19">
        <v>0.05</v>
      </c>
      <c r="O18" s="19">
        <v>4.7468</v>
      </c>
      <c r="P18" s="19" t="s">
        <v>6</v>
      </c>
      <c r="Q18" s="19" t="str">
        <f t="shared" si="7"/>
        <v>92.06</v>
      </c>
      <c r="R18" s="19" t="str">
        <f t="shared" si="8"/>
        <v>552.33</v>
      </c>
      <c r="S18" s="19">
        <v>0.05</v>
      </c>
      <c r="T18" s="19">
        <v>17.944094657024227</v>
      </c>
      <c r="U18" s="19" t="str">
        <f t="shared" si="9"/>
        <v>92.06</v>
      </c>
      <c r="V18" s="19" t="str">
        <f t="shared" si="10"/>
        <v>552.33</v>
      </c>
      <c r="W18" s="19">
        <v>0.05</v>
      </c>
      <c r="X18" s="19"/>
      <c r="Y18" s="19" t="s">
        <v>6</v>
      </c>
      <c r="Z18" s="19" t="str">
        <f t="shared" si="11"/>
        <v>58.25</v>
      </c>
      <c r="AA18" s="19" t="str">
        <f t="shared" si="12"/>
        <v>349.49</v>
      </c>
      <c r="AB18" s="19">
        <v>0.08</v>
      </c>
      <c r="AC18" s="19">
        <v>7.1</v>
      </c>
      <c r="AD18" s="19" t="str">
        <f t="shared" si="13"/>
        <v>50.97</v>
      </c>
      <c r="AE18" s="19" t="str">
        <f t="shared" si="14"/>
        <v>305.80</v>
      </c>
      <c r="AF18" s="19">
        <v>0.07</v>
      </c>
      <c r="AG18" s="19">
        <v>6.1</v>
      </c>
      <c r="AH18" s="19" t="s">
        <v>6</v>
      </c>
      <c r="AI18" s="19" t="str">
        <f t="shared" si="15"/>
        <v>531.21</v>
      </c>
      <c r="AJ18" s="19" t="str">
        <f t="shared" si="16"/>
        <v>3209.12</v>
      </c>
      <c r="AK18" s="19" t="str">
        <f t="shared" si="17"/>
        <v>3165.43</v>
      </c>
      <c r="AL18" s="19" t="str">
        <f t="shared" si="18"/>
        <v>6374.55</v>
      </c>
      <c r="AM18" s="19">
        <v>6374.55</v>
      </c>
      <c r="AN18" s="19" t="str">
        <f t="shared" si="19"/>
        <v>0.00</v>
      </c>
    </row>
    <row r="19" ht="12.75" customHeight="1">
      <c r="A19" s="17">
        <v>5.0</v>
      </c>
      <c r="B19" s="18" t="s">
        <v>41</v>
      </c>
      <c r="C19" s="19" t="str">
        <f t="shared" si="1"/>
        <v>17227.84</v>
      </c>
      <c r="D19" s="19" t="str">
        <f t="shared" si="2"/>
        <v>103367.04</v>
      </c>
      <c r="E19" s="19">
        <v>2.24</v>
      </c>
      <c r="F19" s="19">
        <v>74.95955244537143</v>
      </c>
      <c r="G19" s="19" t="str">
        <f t="shared" si="3"/>
        <v>19594.88</v>
      </c>
      <c r="H19" s="19" t="str">
        <f t="shared" si="4"/>
        <v>117569.28</v>
      </c>
      <c r="I19" s="19">
        <v>2.72</v>
      </c>
      <c r="J19" s="19">
        <v>70.2131</v>
      </c>
      <c r="K19" s="19" t="s">
        <v>6</v>
      </c>
      <c r="L19" s="19" t="str">
        <f t="shared" si="5"/>
        <v>1198.02</v>
      </c>
      <c r="M19" s="19" t="str">
        <f t="shared" si="6"/>
        <v>7188.12</v>
      </c>
      <c r="N19" s="19">
        <v>2.46</v>
      </c>
      <c r="O19" s="19">
        <v>4.7468</v>
      </c>
      <c r="P19" s="19" t="s">
        <v>6</v>
      </c>
      <c r="Q19" s="19" t="str">
        <f t="shared" si="7"/>
        <v>4124.06</v>
      </c>
      <c r="R19" s="19" t="str">
        <f t="shared" si="8"/>
        <v>24744.38</v>
      </c>
      <c r="S19" s="19">
        <v>2.24</v>
      </c>
      <c r="T19" s="19">
        <v>17.944094657024227</v>
      </c>
      <c r="U19" s="19" t="str">
        <f t="shared" si="9"/>
        <v>5007.79</v>
      </c>
      <c r="V19" s="19" t="str">
        <f t="shared" si="10"/>
        <v>30046.75</v>
      </c>
      <c r="W19" s="19">
        <v>2.72</v>
      </c>
      <c r="X19" s="19"/>
      <c r="Y19" s="19" t="s">
        <v>6</v>
      </c>
      <c r="Z19" s="19" t="str">
        <f t="shared" si="11"/>
        <v>2526.51</v>
      </c>
      <c r="AA19" s="19" t="str">
        <f t="shared" si="12"/>
        <v>15159.04</v>
      </c>
      <c r="AB19" s="19">
        <v>3.47</v>
      </c>
      <c r="AC19" s="19">
        <v>7.1</v>
      </c>
      <c r="AD19" s="19" t="str">
        <f t="shared" si="13"/>
        <v>2985.21</v>
      </c>
      <c r="AE19" s="19" t="str">
        <f t="shared" si="14"/>
        <v>17911.26</v>
      </c>
      <c r="AF19" s="19">
        <v>4.1</v>
      </c>
      <c r="AG19" s="19">
        <v>6.1</v>
      </c>
      <c r="AH19" s="19" t="s">
        <v>6</v>
      </c>
      <c r="AI19" s="19" t="str">
        <f t="shared" si="15"/>
        <v>26332.16</v>
      </c>
      <c r="AJ19" s="19" t="str">
        <f t="shared" si="16"/>
        <v>143270.47</v>
      </c>
      <c r="AK19" s="19" t="str">
        <f t="shared" si="17"/>
        <v>172715.41</v>
      </c>
      <c r="AL19" s="19" t="str">
        <f t="shared" si="18"/>
        <v>315985.88</v>
      </c>
      <c r="AM19" s="19">
        <v>149527.4</v>
      </c>
      <c r="AN19" s="19" t="str">
        <f t="shared" si="19"/>
        <v>-166458.48</v>
      </c>
    </row>
    <row r="20" ht="12.75" customHeight="1">
      <c r="A20" s="17">
        <v>6.0</v>
      </c>
      <c r="B20" s="18" t="s">
        <v>42</v>
      </c>
      <c r="C20" s="19" t="str">
        <f t="shared" si="1"/>
        <v>384.55</v>
      </c>
      <c r="D20" s="19" t="str">
        <f t="shared" si="2"/>
        <v>2307.30</v>
      </c>
      <c r="E20" s="19">
        <v>0.05</v>
      </c>
      <c r="F20" s="19">
        <v>74.95955244537143</v>
      </c>
      <c r="G20" s="19" t="str">
        <f t="shared" si="3"/>
        <v>360.20</v>
      </c>
      <c r="H20" s="19" t="str">
        <f t="shared" si="4"/>
        <v>2161.20</v>
      </c>
      <c r="I20" s="19">
        <v>0.05</v>
      </c>
      <c r="J20" s="19">
        <v>70.2131</v>
      </c>
      <c r="K20" s="19" t="s">
        <v>6</v>
      </c>
      <c r="L20" s="19" t="str">
        <f t="shared" si="5"/>
        <v>24.35</v>
      </c>
      <c r="M20" s="19" t="str">
        <f t="shared" si="6"/>
        <v>146.10</v>
      </c>
      <c r="N20" s="19">
        <v>0.05</v>
      </c>
      <c r="O20" s="19">
        <v>4.7468</v>
      </c>
      <c r="P20" s="19" t="s">
        <v>6</v>
      </c>
      <c r="Q20" s="19" t="str">
        <f t="shared" si="7"/>
        <v>92.06</v>
      </c>
      <c r="R20" s="19" t="str">
        <f t="shared" si="8"/>
        <v>552.33</v>
      </c>
      <c r="S20" s="19">
        <v>0.05</v>
      </c>
      <c r="T20" s="19">
        <v>17.944094657024227</v>
      </c>
      <c r="U20" s="19" t="str">
        <f t="shared" si="9"/>
        <v>92.06</v>
      </c>
      <c r="V20" s="19" t="str">
        <f t="shared" si="10"/>
        <v>552.33</v>
      </c>
      <c r="W20" s="19">
        <v>0.05</v>
      </c>
      <c r="X20" s="19"/>
      <c r="Y20" s="19" t="s">
        <v>6</v>
      </c>
      <c r="Z20" s="19" t="str">
        <f t="shared" si="11"/>
        <v>58.25</v>
      </c>
      <c r="AA20" s="19" t="str">
        <f t="shared" si="12"/>
        <v>349.49</v>
      </c>
      <c r="AB20" s="19">
        <v>0.08</v>
      </c>
      <c r="AC20" s="19">
        <v>7.1</v>
      </c>
      <c r="AD20" s="19" t="str">
        <f t="shared" si="13"/>
        <v>50.97</v>
      </c>
      <c r="AE20" s="19" t="str">
        <f t="shared" si="14"/>
        <v>305.80</v>
      </c>
      <c r="AF20" s="19">
        <v>0.07</v>
      </c>
      <c r="AG20" s="19">
        <v>6.1</v>
      </c>
      <c r="AH20" s="19" t="s">
        <v>6</v>
      </c>
      <c r="AI20" s="19" t="str">
        <f t="shared" si="15"/>
        <v>531.21</v>
      </c>
      <c r="AJ20" s="19" t="str">
        <f t="shared" si="16"/>
        <v>3209.12</v>
      </c>
      <c r="AK20" s="19" t="str">
        <f t="shared" si="17"/>
        <v>3165.43</v>
      </c>
      <c r="AL20" s="19" t="str">
        <f t="shared" si="18"/>
        <v>6374.55</v>
      </c>
      <c r="AM20" s="19">
        <v>3000.0</v>
      </c>
      <c r="AN20" s="19" t="str">
        <f t="shared" si="19"/>
        <v>-3374.55</v>
      </c>
    </row>
    <row r="21" ht="12.75" customHeight="1">
      <c r="A21" s="17">
        <v>7.0</v>
      </c>
      <c r="B21" s="18" t="s">
        <v>43</v>
      </c>
      <c r="C21" s="19" t="str">
        <f t="shared" si="1"/>
        <v>7844.82</v>
      </c>
      <c r="D21" s="19" t="str">
        <f t="shared" si="2"/>
        <v>47068.92</v>
      </c>
      <c r="E21" s="19">
        <v>1.02</v>
      </c>
      <c r="F21" s="19">
        <v>74.95955244537143</v>
      </c>
      <c r="G21" s="19" t="str">
        <f t="shared" si="3"/>
        <v>7708.28</v>
      </c>
      <c r="H21" s="19" t="str">
        <f t="shared" si="4"/>
        <v>46249.68</v>
      </c>
      <c r="I21" s="19">
        <v>1.07</v>
      </c>
      <c r="J21" s="19">
        <v>70.2131</v>
      </c>
      <c r="K21" s="19" t="s">
        <v>6</v>
      </c>
      <c r="L21" s="19" t="str">
        <f t="shared" si="5"/>
        <v>467.52</v>
      </c>
      <c r="M21" s="19" t="str">
        <f t="shared" si="6"/>
        <v>2805.12</v>
      </c>
      <c r="N21" s="19">
        <v>0.96</v>
      </c>
      <c r="O21" s="19">
        <v>4.7468</v>
      </c>
      <c r="P21" s="19" t="s">
        <v>6</v>
      </c>
      <c r="Q21" s="19" t="str">
        <f t="shared" si="7"/>
        <v>1877.92</v>
      </c>
      <c r="R21" s="19" t="str">
        <f t="shared" si="8"/>
        <v>11267.53</v>
      </c>
      <c r="S21" s="19">
        <v>1.02</v>
      </c>
      <c r="T21" s="19">
        <v>17.944094657024227</v>
      </c>
      <c r="U21" s="19" t="str">
        <f t="shared" si="9"/>
        <v>1969.98</v>
      </c>
      <c r="V21" s="19" t="str">
        <f t="shared" si="10"/>
        <v>11819.86</v>
      </c>
      <c r="W21" s="19">
        <v>1.07</v>
      </c>
      <c r="X21" s="19"/>
      <c r="Y21" s="19" t="s">
        <v>6</v>
      </c>
      <c r="Z21" s="19" t="str">
        <f t="shared" si="11"/>
        <v>1143.12</v>
      </c>
      <c r="AA21" s="19" t="str">
        <f t="shared" si="12"/>
        <v>6858.70</v>
      </c>
      <c r="AB21" s="19">
        <v>1.57</v>
      </c>
      <c r="AC21" s="19">
        <v>7.1</v>
      </c>
      <c r="AD21" s="19" t="str">
        <f t="shared" si="13"/>
        <v>1172.24</v>
      </c>
      <c r="AE21" s="19" t="str">
        <f t="shared" si="14"/>
        <v>7033.45</v>
      </c>
      <c r="AF21" s="19">
        <v>1.61</v>
      </c>
      <c r="AG21" s="19">
        <v>6.1</v>
      </c>
      <c r="AH21" s="19" t="s">
        <v>6</v>
      </c>
      <c r="AI21" s="19" t="str">
        <f t="shared" si="15"/>
        <v>11091.94</v>
      </c>
      <c r="AJ21" s="19" t="str">
        <f t="shared" si="16"/>
        <v>65195.15</v>
      </c>
      <c r="AK21" s="19" t="str">
        <f t="shared" si="17"/>
        <v>67908.11</v>
      </c>
      <c r="AL21" s="19" t="str">
        <f t="shared" si="18"/>
        <v>133103.26</v>
      </c>
      <c r="AM21" s="19">
        <v>135840.87</v>
      </c>
      <c r="AN21" s="19" t="str">
        <f t="shared" si="19"/>
        <v>2737.61</v>
      </c>
    </row>
    <row r="22" ht="12.75" customHeight="1">
      <c r="A22" s="17">
        <v>8.0</v>
      </c>
      <c r="B22" s="18" t="s">
        <v>44</v>
      </c>
      <c r="C22" s="19" t="str">
        <f t="shared" si="1"/>
        <v>11997.96</v>
      </c>
      <c r="D22" s="19" t="str">
        <f t="shared" si="2"/>
        <v>71987.76</v>
      </c>
      <c r="E22" s="19">
        <v>1.56</v>
      </c>
      <c r="F22" s="19">
        <v>74.95955244537143</v>
      </c>
      <c r="G22" s="19" t="str">
        <f t="shared" si="3"/>
        <v>29896.60</v>
      </c>
      <c r="H22" s="19" t="str">
        <f t="shared" si="4"/>
        <v>179379.60</v>
      </c>
      <c r="I22" s="19">
        <v>4.15</v>
      </c>
      <c r="J22" s="19">
        <v>70.2131</v>
      </c>
      <c r="K22" s="19" t="s">
        <v>6</v>
      </c>
      <c r="L22" s="19" t="str">
        <f t="shared" si="5"/>
        <v>1826.25</v>
      </c>
      <c r="M22" s="19" t="str">
        <f t="shared" si="6"/>
        <v>10957.50</v>
      </c>
      <c r="N22" s="19">
        <v>3.75</v>
      </c>
      <c r="O22" s="19">
        <v>4.7468</v>
      </c>
      <c r="P22" s="19" t="s">
        <v>6</v>
      </c>
      <c r="Q22" s="19" t="str">
        <f t="shared" si="7"/>
        <v>2872.12</v>
      </c>
      <c r="R22" s="19" t="str">
        <f t="shared" si="8"/>
        <v>17232.70</v>
      </c>
      <c r="S22" s="19">
        <v>1.56</v>
      </c>
      <c r="T22" s="19">
        <v>17.944094657024227</v>
      </c>
      <c r="U22" s="19" t="str">
        <f t="shared" si="9"/>
        <v>7640.57</v>
      </c>
      <c r="V22" s="19" t="str">
        <f t="shared" si="10"/>
        <v>45843.39</v>
      </c>
      <c r="W22" s="19">
        <v>4.15</v>
      </c>
      <c r="X22" s="19"/>
      <c r="Y22" s="19" t="s">
        <v>6</v>
      </c>
      <c r="Z22" s="19" t="str">
        <f t="shared" si="11"/>
        <v>1754.72</v>
      </c>
      <c r="AA22" s="19" t="str">
        <f t="shared" si="12"/>
        <v>10528.33</v>
      </c>
      <c r="AB22" s="19">
        <v>2.41</v>
      </c>
      <c r="AC22" s="19">
        <v>7.1</v>
      </c>
      <c r="AD22" s="19" t="str">
        <f t="shared" si="13"/>
        <v>4543.34</v>
      </c>
      <c r="AE22" s="19" t="str">
        <f t="shared" si="14"/>
        <v>27260.06</v>
      </c>
      <c r="AF22" s="19">
        <v>6.24</v>
      </c>
      <c r="AG22" s="19">
        <v>6.1</v>
      </c>
      <c r="AH22" s="19" t="s">
        <v>6</v>
      </c>
      <c r="AI22" s="19" t="str">
        <f t="shared" si="15"/>
        <v>30265.78</v>
      </c>
      <c r="AJ22" s="19" t="str">
        <f t="shared" si="16"/>
        <v>99748.78</v>
      </c>
      <c r="AK22" s="19" t="str">
        <f t="shared" si="17"/>
        <v>263440.55</v>
      </c>
      <c r="AL22" s="19" t="str">
        <f t="shared" si="18"/>
        <v>363189.34</v>
      </c>
      <c r="AM22" s="19">
        <v>363189.34</v>
      </c>
      <c r="AN22" s="19" t="str">
        <f t="shared" si="19"/>
        <v>0.00</v>
      </c>
    </row>
    <row r="23" ht="12.75" customHeight="1">
      <c r="A23" s="17">
        <v>9.0</v>
      </c>
      <c r="B23" s="18" t="s">
        <v>45</v>
      </c>
      <c r="C23" s="19" t="str">
        <f t="shared" si="1"/>
        <v>2691.85</v>
      </c>
      <c r="D23" s="19" t="str">
        <f t="shared" si="2"/>
        <v>16151.10</v>
      </c>
      <c r="E23" s="19">
        <v>0.35</v>
      </c>
      <c r="F23" s="19">
        <v>74.95955244537143</v>
      </c>
      <c r="G23" s="19" t="str">
        <f t="shared" si="3"/>
        <v>5547.08</v>
      </c>
      <c r="H23" s="19" t="str">
        <f t="shared" si="4"/>
        <v>33282.48</v>
      </c>
      <c r="I23" s="19">
        <v>0.77</v>
      </c>
      <c r="J23" s="19">
        <v>70.2131</v>
      </c>
      <c r="K23" s="19" t="s">
        <v>6</v>
      </c>
      <c r="L23" s="19" t="str">
        <f t="shared" si="5"/>
        <v>340.90</v>
      </c>
      <c r="M23" s="19" t="str">
        <f t="shared" si="6"/>
        <v>2045.40</v>
      </c>
      <c r="N23" s="19">
        <v>0.7</v>
      </c>
      <c r="O23" s="19">
        <v>4.7468</v>
      </c>
      <c r="P23" s="19" t="s">
        <v>6</v>
      </c>
      <c r="Q23" s="19" t="str">
        <f t="shared" si="7"/>
        <v>644.39</v>
      </c>
      <c r="R23" s="19" t="str">
        <f t="shared" si="8"/>
        <v>3866.31</v>
      </c>
      <c r="S23" s="19">
        <v>0.35</v>
      </c>
      <c r="T23" s="19">
        <v>17.944094657024227</v>
      </c>
      <c r="U23" s="19" t="str">
        <f t="shared" si="9"/>
        <v>1417.65</v>
      </c>
      <c r="V23" s="19" t="str">
        <f t="shared" si="10"/>
        <v>8505.88</v>
      </c>
      <c r="W23" s="19">
        <v>0.77</v>
      </c>
      <c r="X23" s="19"/>
      <c r="Y23" s="19" t="s">
        <v>6</v>
      </c>
      <c r="Z23" s="19" t="str">
        <f t="shared" si="11"/>
        <v>393.17</v>
      </c>
      <c r="AA23" s="19" t="str">
        <f t="shared" si="12"/>
        <v>2359.04</v>
      </c>
      <c r="AB23" s="19">
        <v>0.54</v>
      </c>
      <c r="AC23" s="19">
        <v>7.1</v>
      </c>
      <c r="AD23" s="19" t="str">
        <f t="shared" si="13"/>
        <v>844.60</v>
      </c>
      <c r="AE23" s="19" t="str">
        <f t="shared" si="14"/>
        <v>5067.58</v>
      </c>
      <c r="AF23" s="19">
        <v>1.16</v>
      </c>
      <c r="AG23" s="19">
        <v>6.1</v>
      </c>
      <c r="AH23" s="19" t="s">
        <v>6</v>
      </c>
      <c r="AI23" s="19" t="str">
        <f t="shared" si="15"/>
        <v>5939.82</v>
      </c>
      <c r="AJ23" s="19" t="str">
        <f t="shared" si="16"/>
        <v>22376.45</v>
      </c>
      <c r="AK23" s="19" t="str">
        <f t="shared" si="17"/>
        <v>48901.34</v>
      </c>
      <c r="AL23" s="19" t="str">
        <f t="shared" si="18"/>
        <v>71277.79</v>
      </c>
      <c r="AM23" s="19">
        <v>67010.0</v>
      </c>
      <c r="AN23" s="19" t="str">
        <f t="shared" si="19"/>
        <v>-4267.79</v>
      </c>
    </row>
    <row r="24" ht="12.75" customHeight="1">
      <c r="A24" s="17">
        <v>10.0</v>
      </c>
      <c r="B24" s="18" t="s">
        <v>46</v>
      </c>
      <c r="C24" s="19" t="str">
        <f t="shared" si="1"/>
        <v>206734.08</v>
      </c>
      <c r="D24" s="19" t="str">
        <f t="shared" si="2"/>
        <v>1240404.48</v>
      </c>
      <c r="E24" s="19">
        <v>26.88</v>
      </c>
      <c r="F24" s="19">
        <v>74.95955244537143</v>
      </c>
      <c r="G24" s="19" t="str">
        <f t="shared" si="3"/>
        <v>176930.24</v>
      </c>
      <c r="H24" s="19" t="str">
        <f t="shared" si="4"/>
        <v>1061581.44</v>
      </c>
      <c r="I24" s="19">
        <v>24.56</v>
      </c>
      <c r="J24" s="19">
        <v>70.2131</v>
      </c>
      <c r="K24" s="19" t="s">
        <v>6</v>
      </c>
      <c r="L24" s="19" t="str">
        <f t="shared" si="5"/>
        <v>10801.66</v>
      </c>
      <c r="M24" s="19" t="str">
        <f t="shared" si="6"/>
        <v>64809.96</v>
      </c>
      <c r="N24" s="19">
        <v>22.18</v>
      </c>
      <c r="O24" s="19">
        <v>4.7468</v>
      </c>
      <c r="P24" s="19" t="s">
        <v>6</v>
      </c>
      <c r="Q24" s="19" t="str">
        <f t="shared" si="7"/>
        <v>49488.77</v>
      </c>
      <c r="R24" s="19" t="str">
        <f t="shared" si="8"/>
        <v>296932.61</v>
      </c>
      <c r="S24" s="19">
        <v>26.88</v>
      </c>
      <c r="T24" s="19">
        <v>17.944094657024227</v>
      </c>
      <c r="U24" s="19" t="str">
        <f t="shared" si="9"/>
        <v>45217.42</v>
      </c>
      <c r="V24" s="19" t="str">
        <f t="shared" si="10"/>
        <v>271304.50</v>
      </c>
      <c r="W24" s="19">
        <v>24.56</v>
      </c>
      <c r="X24" s="19"/>
      <c r="Y24" s="19" t="s">
        <v>6</v>
      </c>
      <c r="Z24" s="19" t="str">
        <f t="shared" si="11"/>
        <v>30259.84</v>
      </c>
      <c r="AA24" s="19" t="str">
        <f t="shared" si="12"/>
        <v>181559.02</v>
      </c>
      <c r="AB24" s="19">
        <v>41.56</v>
      </c>
      <c r="AC24" s="19">
        <v>7.1</v>
      </c>
      <c r="AD24" s="19" t="str">
        <f t="shared" si="13"/>
        <v>23954.49</v>
      </c>
      <c r="AE24" s="19" t="str">
        <f t="shared" si="14"/>
        <v>143726.94</v>
      </c>
      <c r="AF24" s="19">
        <v>32.9</v>
      </c>
      <c r="AG24" s="19">
        <v>6.1</v>
      </c>
      <c r="AH24" s="19" t="s">
        <v>6</v>
      </c>
      <c r="AI24" s="19" t="str">
        <f t="shared" si="15"/>
        <v>271693.25</v>
      </c>
      <c r="AJ24" s="19" t="str">
        <f t="shared" si="16"/>
        <v>1718896.10</v>
      </c>
      <c r="AK24" s="19" t="str">
        <f t="shared" si="17"/>
        <v>1541422.84</v>
      </c>
      <c r="AL24" s="19" t="str">
        <f t="shared" si="18"/>
        <v>3260318.94</v>
      </c>
      <c r="AM24" s="19">
        <v>3021837.26</v>
      </c>
      <c r="AN24" s="19" t="str">
        <f t="shared" si="19"/>
        <v>-238481.68</v>
      </c>
    </row>
    <row r="25" ht="12.75" customHeight="1">
      <c r="A25" s="17">
        <v>11.0</v>
      </c>
      <c r="B25" s="18" t="s">
        <v>47</v>
      </c>
      <c r="C25" s="19" t="str">
        <f t="shared" si="1"/>
        <v>18150.76</v>
      </c>
      <c r="D25" s="19" t="str">
        <f t="shared" si="2"/>
        <v>108904.56</v>
      </c>
      <c r="E25" s="19">
        <v>2.36</v>
      </c>
      <c r="F25" s="19">
        <v>74.95955244537143</v>
      </c>
      <c r="G25" s="19" t="str">
        <f t="shared" si="3"/>
        <v>30040.68</v>
      </c>
      <c r="H25" s="19" t="str">
        <f t="shared" si="4"/>
        <v>180244.08</v>
      </c>
      <c r="I25" s="19">
        <v>4.17</v>
      </c>
      <c r="J25" s="19">
        <v>70.2131</v>
      </c>
      <c r="K25" s="19" t="s">
        <v>6</v>
      </c>
      <c r="L25" s="19" t="str">
        <f t="shared" si="5"/>
        <v>1835.99</v>
      </c>
      <c r="M25" s="19" t="str">
        <f t="shared" si="6"/>
        <v>11015.94</v>
      </c>
      <c r="N25" s="19">
        <v>3.77</v>
      </c>
      <c r="O25" s="19">
        <v>4.7468</v>
      </c>
      <c r="P25" s="19" t="s">
        <v>6</v>
      </c>
      <c r="Q25" s="19" t="str">
        <f t="shared" si="7"/>
        <v>4345.00</v>
      </c>
      <c r="R25" s="19" t="str">
        <f t="shared" si="8"/>
        <v>26069.98</v>
      </c>
      <c r="S25" s="19">
        <v>2.36</v>
      </c>
      <c r="T25" s="19">
        <v>17.944094657024227</v>
      </c>
      <c r="U25" s="19" t="str">
        <f t="shared" si="9"/>
        <v>7677.39</v>
      </c>
      <c r="V25" s="19" t="str">
        <f t="shared" si="10"/>
        <v>46064.32</v>
      </c>
      <c r="W25" s="19">
        <v>4.17</v>
      </c>
      <c r="X25" s="19"/>
      <c r="Y25" s="19" t="s">
        <v>6</v>
      </c>
      <c r="Z25" s="19" t="str">
        <f t="shared" si="11"/>
        <v>2650.28</v>
      </c>
      <c r="AA25" s="19" t="str">
        <f t="shared" si="12"/>
        <v>15901.70</v>
      </c>
      <c r="AB25" s="19">
        <v>3.64</v>
      </c>
      <c r="AC25" s="19">
        <v>7.1</v>
      </c>
      <c r="AD25" s="19" t="str">
        <f t="shared" si="13"/>
        <v>4587.03</v>
      </c>
      <c r="AE25" s="19" t="str">
        <f t="shared" si="14"/>
        <v>27522.18</v>
      </c>
      <c r="AF25" s="19">
        <v>6.3</v>
      </c>
      <c r="AG25" s="19">
        <v>6.1</v>
      </c>
      <c r="AH25" s="19" t="s">
        <v>6</v>
      </c>
      <c r="AI25" s="19" t="str">
        <f t="shared" si="15"/>
        <v>34643.56</v>
      </c>
      <c r="AJ25" s="19" t="str">
        <f t="shared" si="16"/>
        <v>150876.24</v>
      </c>
      <c r="AK25" s="19" t="str">
        <f t="shared" si="17"/>
        <v>264846.52</v>
      </c>
      <c r="AL25" s="19" t="str">
        <f t="shared" si="18"/>
        <v>415722.76</v>
      </c>
      <c r="AM25" s="19">
        <v>415000.0</v>
      </c>
      <c r="AN25" s="19" t="str">
        <f t="shared" si="19"/>
        <v>-722.76</v>
      </c>
    </row>
    <row r="26" ht="12.75" customHeight="1">
      <c r="A26" s="17">
        <v>12.0</v>
      </c>
      <c r="B26" s="18" t="s">
        <v>48</v>
      </c>
      <c r="C26" s="19" t="str">
        <f t="shared" si="1"/>
        <v>2076.57</v>
      </c>
      <c r="D26" s="19" t="str">
        <f t="shared" si="2"/>
        <v>12459.42</v>
      </c>
      <c r="E26" s="19">
        <v>0.27</v>
      </c>
      <c r="F26" s="19">
        <v>74.95955244537143</v>
      </c>
      <c r="G26" s="19" t="str">
        <f t="shared" si="3"/>
        <v>4322.40</v>
      </c>
      <c r="H26" s="19" t="str">
        <f t="shared" si="4"/>
        <v>25934.40</v>
      </c>
      <c r="I26" s="19">
        <v>0.6</v>
      </c>
      <c r="J26" s="19">
        <v>70.2131</v>
      </c>
      <c r="K26" s="19" t="s">
        <v>6</v>
      </c>
      <c r="L26" s="19" t="str">
        <f t="shared" si="5"/>
        <v>262.98</v>
      </c>
      <c r="M26" s="19" t="str">
        <f t="shared" si="6"/>
        <v>1577.88</v>
      </c>
      <c r="N26" s="19">
        <v>0.54</v>
      </c>
      <c r="O26" s="19">
        <v>4.7468</v>
      </c>
      <c r="P26" s="19" t="s">
        <v>6</v>
      </c>
      <c r="Q26" s="19" t="str">
        <f t="shared" si="7"/>
        <v>497.10</v>
      </c>
      <c r="R26" s="19" t="str">
        <f t="shared" si="8"/>
        <v>2982.58</v>
      </c>
      <c r="S26" s="19">
        <v>0.27</v>
      </c>
      <c r="T26" s="19">
        <v>17.944094657024227</v>
      </c>
      <c r="U26" s="19" t="str">
        <f t="shared" si="9"/>
        <v>1104.66</v>
      </c>
      <c r="V26" s="19" t="str">
        <f t="shared" si="10"/>
        <v>6627.96</v>
      </c>
      <c r="W26" s="19">
        <v>0.6</v>
      </c>
      <c r="X26" s="19"/>
      <c r="Y26" s="19" t="s">
        <v>6</v>
      </c>
      <c r="Z26" s="19" t="str">
        <f t="shared" si="11"/>
        <v>305.80</v>
      </c>
      <c r="AA26" s="19" t="str">
        <f t="shared" si="12"/>
        <v>1834.81</v>
      </c>
      <c r="AB26" s="19">
        <v>0.42</v>
      </c>
      <c r="AC26" s="19">
        <v>7.1</v>
      </c>
      <c r="AD26" s="19" t="str">
        <f t="shared" si="13"/>
        <v>655.29</v>
      </c>
      <c r="AE26" s="19" t="str">
        <f t="shared" si="14"/>
        <v>3931.74</v>
      </c>
      <c r="AF26" s="19">
        <v>0.9</v>
      </c>
      <c r="AG26" s="19">
        <v>6.1</v>
      </c>
      <c r="AH26" s="19" t="s">
        <v>6</v>
      </c>
      <c r="AI26" s="19" t="str">
        <f t="shared" si="15"/>
        <v>4612.40</v>
      </c>
      <c r="AJ26" s="19" t="str">
        <f t="shared" si="16"/>
        <v>17276.81</v>
      </c>
      <c r="AK26" s="19" t="str">
        <f t="shared" si="17"/>
        <v>38071.98</v>
      </c>
      <c r="AL26" s="19" t="str">
        <f t="shared" si="18"/>
        <v>55348.79</v>
      </c>
      <c r="AM26" s="19">
        <v>31800.0</v>
      </c>
      <c r="AN26" s="19" t="str">
        <f t="shared" si="19"/>
        <v>-23548.79</v>
      </c>
    </row>
    <row r="27" ht="12.75" customHeight="1">
      <c r="A27" s="17">
        <v>13.0</v>
      </c>
      <c r="B27" s="18" t="s">
        <v>49</v>
      </c>
      <c r="C27" s="19" t="str">
        <f t="shared" si="1"/>
        <v>76.91</v>
      </c>
      <c r="D27" s="19" t="str">
        <f t="shared" si="2"/>
        <v>461.46</v>
      </c>
      <c r="E27" s="19">
        <v>0.01</v>
      </c>
      <c r="F27" s="19">
        <v>74.95955244537143</v>
      </c>
      <c r="G27" s="19" t="str">
        <f t="shared" si="3"/>
        <v>72.04</v>
      </c>
      <c r="H27" s="19" t="str">
        <f t="shared" si="4"/>
        <v>432.24</v>
      </c>
      <c r="I27" s="19">
        <v>0.01</v>
      </c>
      <c r="J27" s="19">
        <v>70.2131</v>
      </c>
      <c r="K27" s="19" t="s">
        <v>6</v>
      </c>
      <c r="L27" s="19" t="str">
        <f t="shared" si="5"/>
        <v>4.87</v>
      </c>
      <c r="M27" s="19" t="str">
        <f t="shared" si="6"/>
        <v>29.22</v>
      </c>
      <c r="N27" s="19">
        <v>0.01</v>
      </c>
      <c r="O27" s="19">
        <v>4.7468</v>
      </c>
      <c r="P27" s="19" t="s">
        <v>6</v>
      </c>
      <c r="Q27" s="19" t="str">
        <f t="shared" si="7"/>
        <v>18.41</v>
      </c>
      <c r="R27" s="19" t="str">
        <f t="shared" si="8"/>
        <v>110.47</v>
      </c>
      <c r="S27" s="19">
        <v>0.01</v>
      </c>
      <c r="T27" s="19">
        <v>17.944094657024227</v>
      </c>
      <c r="U27" s="19" t="str">
        <f t="shared" si="9"/>
        <v>18.41</v>
      </c>
      <c r="V27" s="19" t="str">
        <f t="shared" si="10"/>
        <v>110.47</v>
      </c>
      <c r="W27" s="19">
        <v>0.01</v>
      </c>
      <c r="X27" s="19"/>
      <c r="Y27" s="19" t="s">
        <v>6</v>
      </c>
      <c r="Z27" s="19" t="str">
        <f t="shared" si="11"/>
        <v>14.56</v>
      </c>
      <c r="AA27" s="19" t="str">
        <f t="shared" si="12"/>
        <v>87.37</v>
      </c>
      <c r="AB27" s="19">
        <v>0.02</v>
      </c>
      <c r="AC27" s="19">
        <v>7.1</v>
      </c>
      <c r="AD27" s="19" t="str">
        <f t="shared" si="13"/>
        <v>7.28</v>
      </c>
      <c r="AE27" s="19" t="str">
        <f t="shared" si="14"/>
        <v>43.69</v>
      </c>
      <c r="AF27" s="19">
        <v>0.01</v>
      </c>
      <c r="AG27" s="19">
        <v>6.1</v>
      </c>
      <c r="AH27" s="19" t="s">
        <v>6</v>
      </c>
      <c r="AI27" s="19" t="str">
        <f t="shared" si="15"/>
        <v>106.24</v>
      </c>
      <c r="AJ27" s="19" t="str">
        <f t="shared" si="16"/>
        <v>659.30</v>
      </c>
      <c r="AK27" s="19" t="str">
        <f t="shared" si="17"/>
        <v>615.61</v>
      </c>
      <c r="AL27" s="19" t="str">
        <f t="shared" si="18"/>
        <v>1274.91</v>
      </c>
      <c r="AM27" s="19">
        <v>1200.0</v>
      </c>
      <c r="AN27" s="19" t="str">
        <f t="shared" si="19"/>
        <v>-74.91</v>
      </c>
    </row>
    <row r="28" ht="12.75" customHeight="1">
      <c r="A28" s="17">
        <v>14.0</v>
      </c>
      <c r="B28" s="18" t="s">
        <v>50</v>
      </c>
      <c r="C28" s="19" t="str">
        <f t="shared" si="1"/>
        <v>1230.56</v>
      </c>
      <c r="D28" s="19" t="str">
        <f t="shared" si="2"/>
        <v>7383.36</v>
      </c>
      <c r="E28" s="19">
        <v>0.16</v>
      </c>
      <c r="F28" s="19">
        <v>74.95955244537143</v>
      </c>
      <c r="G28" s="19" t="str">
        <f t="shared" si="3"/>
        <v>1152.64</v>
      </c>
      <c r="H28" s="19" t="str">
        <f t="shared" si="4"/>
        <v>6915.84</v>
      </c>
      <c r="I28" s="19">
        <v>0.16</v>
      </c>
      <c r="J28" s="19">
        <v>70.2131</v>
      </c>
      <c r="K28" s="19" t="s">
        <v>6</v>
      </c>
      <c r="L28" s="19" t="str">
        <f t="shared" si="5"/>
        <v>73.05</v>
      </c>
      <c r="M28" s="19" t="str">
        <f t="shared" si="6"/>
        <v>438.30</v>
      </c>
      <c r="N28" s="19">
        <v>0.15</v>
      </c>
      <c r="O28" s="19">
        <v>4.7468</v>
      </c>
      <c r="P28" s="19" t="s">
        <v>6</v>
      </c>
      <c r="Q28" s="19" t="str">
        <f t="shared" si="7"/>
        <v>294.58</v>
      </c>
      <c r="R28" s="19" t="str">
        <f t="shared" si="8"/>
        <v>1767.46</v>
      </c>
      <c r="S28" s="19">
        <v>0.16</v>
      </c>
      <c r="T28" s="19">
        <v>17.944094657024227</v>
      </c>
      <c r="U28" s="19" t="str">
        <f t="shared" si="9"/>
        <v>294.58</v>
      </c>
      <c r="V28" s="19" t="str">
        <f t="shared" si="10"/>
        <v>1767.46</v>
      </c>
      <c r="W28" s="19">
        <v>0.16</v>
      </c>
      <c r="X28" s="19"/>
      <c r="Y28" s="19" t="s">
        <v>6</v>
      </c>
      <c r="Z28" s="19" t="str">
        <f t="shared" si="11"/>
        <v>174.74</v>
      </c>
      <c r="AA28" s="19" t="str">
        <f t="shared" si="12"/>
        <v>1048.46</v>
      </c>
      <c r="AB28" s="19">
        <v>0.24</v>
      </c>
      <c r="AC28" s="19">
        <v>7.1</v>
      </c>
      <c r="AD28" s="19" t="str">
        <f t="shared" si="13"/>
        <v>174.74</v>
      </c>
      <c r="AE28" s="19" t="str">
        <f t="shared" si="14"/>
        <v>1048.46</v>
      </c>
      <c r="AF28" s="19">
        <v>0.24</v>
      </c>
      <c r="AG28" s="19">
        <v>6.1</v>
      </c>
      <c r="AH28" s="19" t="s">
        <v>6</v>
      </c>
      <c r="AI28" s="19" t="str">
        <f t="shared" si="15"/>
        <v>1697.45</v>
      </c>
      <c r="AJ28" s="19" t="str">
        <f t="shared" si="16"/>
        <v>10199.28</v>
      </c>
      <c r="AK28" s="19" t="str">
        <f t="shared" si="17"/>
        <v>10170.06</v>
      </c>
      <c r="AL28" s="19" t="str">
        <f t="shared" si="18"/>
        <v>20369.34</v>
      </c>
      <c r="AM28" s="19">
        <v>7854.8</v>
      </c>
      <c r="AN28" s="19" t="str">
        <f t="shared" si="19"/>
        <v>-12514.54</v>
      </c>
    </row>
    <row r="29" ht="12.75" customHeight="1">
      <c r="A29" s="17">
        <v>15.0</v>
      </c>
      <c r="B29" s="18" t="s">
        <v>51</v>
      </c>
      <c r="C29" s="19" t="str">
        <f t="shared" si="1"/>
        <v>11228.86</v>
      </c>
      <c r="D29" s="19" t="str">
        <f t="shared" si="2"/>
        <v>67373.16</v>
      </c>
      <c r="E29" s="19">
        <v>1.46</v>
      </c>
      <c r="F29" s="19">
        <v>74.95955244537143</v>
      </c>
      <c r="G29" s="19" t="str">
        <f t="shared" si="3"/>
        <v>12246.80</v>
      </c>
      <c r="H29" s="19" t="str">
        <f t="shared" si="4"/>
        <v>73480.80</v>
      </c>
      <c r="I29" s="19">
        <v>1.7</v>
      </c>
      <c r="J29" s="19">
        <v>70.2131</v>
      </c>
      <c r="K29" s="19" t="s">
        <v>6</v>
      </c>
      <c r="L29" s="19" t="str">
        <f t="shared" si="5"/>
        <v>749.98</v>
      </c>
      <c r="M29" s="19" t="str">
        <f t="shared" si="6"/>
        <v>4499.88</v>
      </c>
      <c r="N29" s="19">
        <v>1.54</v>
      </c>
      <c r="O29" s="19">
        <v>4.7468</v>
      </c>
      <c r="P29" s="19" t="s">
        <v>6</v>
      </c>
      <c r="Q29" s="19" t="str">
        <f t="shared" si="7"/>
        <v>2688.01</v>
      </c>
      <c r="R29" s="19" t="str">
        <f t="shared" si="8"/>
        <v>16128.04</v>
      </c>
      <c r="S29" s="19">
        <v>1.46</v>
      </c>
      <c r="T29" s="19">
        <v>17.944094657024227</v>
      </c>
      <c r="U29" s="19" t="str">
        <f t="shared" si="9"/>
        <v>3129.87</v>
      </c>
      <c r="V29" s="19" t="str">
        <f t="shared" si="10"/>
        <v>18779.22</v>
      </c>
      <c r="W29" s="19">
        <v>1.7</v>
      </c>
      <c r="X29" s="19"/>
      <c r="Y29" s="19" t="s">
        <v>6</v>
      </c>
      <c r="Z29" s="19" t="str">
        <f t="shared" si="11"/>
        <v>1645.51</v>
      </c>
      <c r="AA29" s="19" t="str">
        <f t="shared" si="12"/>
        <v>9873.04</v>
      </c>
      <c r="AB29" s="19">
        <v>2.26</v>
      </c>
      <c r="AC29" s="19">
        <v>7.1</v>
      </c>
      <c r="AD29" s="19" t="str">
        <f t="shared" si="13"/>
        <v>1863.94</v>
      </c>
      <c r="AE29" s="19" t="str">
        <f t="shared" si="14"/>
        <v>11183.62</v>
      </c>
      <c r="AF29" s="19">
        <v>2.56</v>
      </c>
      <c r="AG29" s="19">
        <v>6.1</v>
      </c>
      <c r="AH29" s="19" t="s">
        <v>6</v>
      </c>
      <c r="AI29" s="19" t="str">
        <f t="shared" si="15"/>
        <v>16776.48</v>
      </c>
      <c r="AJ29" s="19" t="str">
        <f t="shared" si="16"/>
        <v>93374.23</v>
      </c>
      <c r="AK29" s="19" t="str">
        <f t="shared" si="17"/>
        <v>107943.52</v>
      </c>
      <c r="AL29" s="19" t="str">
        <f t="shared" si="18"/>
        <v>201317.75</v>
      </c>
      <c r="AM29" s="19">
        <v>167954.2</v>
      </c>
      <c r="AN29" s="19" t="str">
        <f t="shared" si="19"/>
        <v>-33363.55</v>
      </c>
    </row>
    <row r="30" ht="12.75" customHeight="1">
      <c r="A30" s="17">
        <v>16.0</v>
      </c>
      <c r="B30" s="18" t="s">
        <v>52</v>
      </c>
      <c r="C30" s="19" t="str">
        <f t="shared" si="1"/>
        <v>4614.60</v>
      </c>
      <c r="D30" s="19" t="str">
        <f t="shared" si="2"/>
        <v>27687.60</v>
      </c>
      <c r="E30" s="19">
        <v>0.6</v>
      </c>
      <c r="F30" s="19">
        <v>74.95955244537143</v>
      </c>
      <c r="G30" s="19" t="str">
        <f t="shared" si="3"/>
        <v>4682.60</v>
      </c>
      <c r="H30" s="19" t="str">
        <f t="shared" si="4"/>
        <v>28095.60</v>
      </c>
      <c r="I30" s="19">
        <v>0.65</v>
      </c>
      <c r="J30" s="19">
        <v>70.2131</v>
      </c>
      <c r="K30" s="19" t="s">
        <v>6</v>
      </c>
      <c r="L30" s="19" t="str">
        <f t="shared" si="5"/>
        <v>282.46</v>
      </c>
      <c r="M30" s="19" t="str">
        <f t="shared" si="6"/>
        <v>1694.76</v>
      </c>
      <c r="N30" s="19">
        <v>0.58</v>
      </c>
      <c r="O30" s="19">
        <v>4.7468</v>
      </c>
      <c r="P30" s="19" t="s">
        <v>6</v>
      </c>
      <c r="Q30" s="19" t="str">
        <f t="shared" si="7"/>
        <v>1104.66</v>
      </c>
      <c r="R30" s="19" t="str">
        <f t="shared" si="8"/>
        <v>6627.96</v>
      </c>
      <c r="S30" s="19">
        <v>0.6</v>
      </c>
      <c r="T30" s="19">
        <v>17.944094657024227</v>
      </c>
      <c r="U30" s="19" t="str">
        <f t="shared" si="9"/>
        <v>1196.72</v>
      </c>
      <c r="V30" s="19" t="str">
        <f t="shared" si="10"/>
        <v>7180.29</v>
      </c>
      <c r="W30" s="19">
        <v>0.65</v>
      </c>
      <c r="X30" s="19"/>
      <c r="Y30" s="19" t="s">
        <v>6</v>
      </c>
      <c r="Z30" s="19" t="str">
        <f t="shared" si="11"/>
        <v>677.13</v>
      </c>
      <c r="AA30" s="19" t="str">
        <f t="shared" si="12"/>
        <v>4062.80</v>
      </c>
      <c r="AB30" s="19">
        <v>0.93</v>
      </c>
      <c r="AC30" s="19">
        <v>7.1</v>
      </c>
      <c r="AD30" s="19" t="str">
        <f t="shared" si="13"/>
        <v>706.26</v>
      </c>
      <c r="AE30" s="19" t="str">
        <f t="shared" si="14"/>
        <v>4237.54</v>
      </c>
      <c r="AF30" s="19">
        <v>0.97</v>
      </c>
      <c r="AG30" s="19">
        <v>6.1</v>
      </c>
      <c r="AH30" s="19" t="s">
        <v>6</v>
      </c>
      <c r="AI30" s="19" t="str">
        <f t="shared" si="15"/>
        <v>6632.21</v>
      </c>
      <c r="AJ30" s="19" t="str">
        <f t="shared" si="16"/>
        <v>38378.36</v>
      </c>
      <c r="AK30" s="19" t="str">
        <f t="shared" si="17"/>
        <v>41208.19</v>
      </c>
      <c r="AL30" s="19" t="str">
        <f t="shared" si="18"/>
        <v>79586.55</v>
      </c>
      <c r="AM30" s="19">
        <v>75000.0</v>
      </c>
      <c r="AN30" s="19" t="str">
        <f t="shared" si="19"/>
        <v>-4586.55</v>
      </c>
    </row>
    <row r="31" ht="15.75" customHeight="1">
      <c r="A31" s="17">
        <v>17.0</v>
      </c>
      <c r="B31" s="18" t="s">
        <v>53</v>
      </c>
      <c r="C31" s="19" t="str">
        <f t="shared" si="1"/>
        <v>11536.50</v>
      </c>
      <c r="D31" s="19" t="str">
        <f t="shared" si="2"/>
        <v>69219.00</v>
      </c>
      <c r="E31" s="19">
        <v>1.5</v>
      </c>
      <c r="F31" s="19">
        <v>74.95955244537143</v>
      </c>
      <c r="G31" s="19" t="str">
        <f t="shared" si="3"/>
        <v>34723.28</v>
      </c>
      <c r="H31" s="19" t="str">
        <f t="shared" si="4"/>
        <v>208339.68</v>
      </c>
      <c r="I31" s="19">
        <v>4.82</v>
      </c>
      <c r="J31" s="19">
        <v>70.2131</v>
      </c>
      <c r="K31" s="19" t="s">
        <v>6</v>
      </c>
      <c r="L31" s="19" t="str">
        <f t="shared" si="5"/>
        <v>2118.45</v>
      </c>
      <c r="M31" s="19" t="str">
        <f t="shared" si="6"/>
        <v>12710.70</v>
      </c>
      <c r="N31" s="19">
        <v>4.35</v>
      </c>
      <c r="O31" s="19">
        <v>4.7468</v>
      </c>
      <c r="P31" s="19" t="s">
        <v>6</v>
      </c>
      <c r="Q31" s="19" t="str">
        <f t="shared" si="7"/>
        <v>2761.65</v>
      </c>
      <c r="R31" s="19" t="str">
        <f t="shared" si="8"/>
        <v>16569.90</v>
      </c>
      <c r="S31" s="19">
        <v>1.5</v>
      </c>
      <c r="T31" s="19">
        <v>17.944094657024227</v>
      </c>
      <c r="U31" s="19" t="str">
        <f t="shared" si="9"/>
        <v>15189.08</v>
      </c>
      <c r="V31" s="19" t="str">
        <f t="shared" si="10"/>
        <v>91134.45</v>
      </c>
      <c r="W31" s="19">
        <v>8.25</v>
      </c>
      <c r="X31" s="19"/>
      <c r="Y31" s="19" t="s">
        <v>6</v>
      </c>
      <c r="Z31" s="19" t="str">
        <f t="shared" si="11"/>
        <v>1689.19</v>
      </c>
      <c r="AA31" s="19" t="str">
        <f t="shared" si="12"/>
        <v>10135.15</v>
      </c>
      <c r="AB31" s="19">
        <v>2.32</v>
      </c>
      <c r="AC31" s="19">
        <v>7.1</v>
      </c>
      <c r="AD31" s="19" t="str">
        <f t="shared" si="13"/>
        <v>7208.19</v>
      </c>
      <c r="AE31" s="19" t="str">
        <f t="shared" si="14"/>
        <v>43249.14</v>
      </c>
      <c r="AF31" s="19">
        <v>9.9</v>
      </c>
      <c r="AG31" s="19">
        <v>6.1</v>
      </c>
      <c r="AH31" s="19" t="s">
        <v>6</v>
      </c>
      <c r="AI31" s="19" t="str">
        <f t="shared" si="15"/>
        <v>37613.17</v>
      </c>
      <c r="AJ31" s="19" t="str">
        <f t="shared" si="16"/>
        <v>95924.05</v>
      </c>
      <c r="AK31" s="19" t="str">
        <f t="shared" si="17"/>
        <v>355433.97</v>
      </c>
      <c r="AL31" s="19" t="str">
        <f t="shared" si="18"/>
        <v>451358.02</v>
      </c>
      <c r="AM31" s="19">
        <v>149990.2</v>
      </c>
      <c r="AN31" s="19" t="str">
        <f t="shared" si="19"/>
        <v>-301367.82</v>
      </c>
    </row>
    <row r="32" ht="12.75" customHeight="1">
      <c r="A32" s="17">
        <v>18.0</v>
      </c>
      <c r="B32" s="18" t="s">
        <v>54</v>
      </c>
      <c r="C32" s="19" t="str">
        <f t="shared" si="1"/>
        <v>4999.15</v>
      </c>
      <c r="D32" s="19" t="str">
        <f t="shared" si="2"/>
        <v>29994.90</v>
      </c>
      <c r="E32" s="19">
        <v>0.65</v>
      </c>
      <c r="F32" s="19">
        <v>74.95955244537143</v>
      </c>
      <c r="G32" s="19" t="str">
        <f t="shared" si="3"/>
        <v>29392.32</v>
      </c>
      <c r="H32" s="19" t="str">
        <f t="shared" si="4"/>
        <v>176353.92</v>
      </c>
      <c r="I32" s="19">
        <v>4.08</v>
      </c>
      <c r="J32" s="19">
        <v>70.2131</v>
      </c>
      <c r="K32" s="19" t="s">
        <v>6</v>
      </c>
      <c r="L32" s="19" t="str">
        <f t="shared" si="5"/>
        <v>1797.03</v>
      </c>
      <c r="M32" s="19" t="str">
        <f t="shared" si="6"/>
        <v>10782.18</v>
      </c>
      <c r="N32" s="19">
        <v>3.69</v>
      </c>
      <c r="O32" s="19">
        <v>4.7468</v>
      </c>
      <c r="P32" s="19" t="s">
        <v>6</v>
      </c>
      <c r="Q32" s="19" t="str">
        <f t="shared" si="7"/>
        <v>1196.72</v>
      </c>
      <c r="R32" s="19" t="str">
        <f t="shared" si="8"/>
        <v>7180.29</v>
      </c>
      <c r="S32" s="19">
        <v>0.65</v>
      </c>
      <c r="T32" s="19">
        <v>17.944094657024227</v>
      </c>
      <c r="U32" s="19" t="str">
        <f t="shared" si="9"/>
        <v>11193.89</v>
      </c>
      <c r="V32" s="19" t="str">
        <f t="shared" si="10"/>
        <v>67163.33</v>
      </c>
      <c r="W32" s="19">
        <v>6.08</v>
      </c>
      <c r="X32" s="19"/>
      <c r="Y32" s="19" t="s">
        <v>6</v>
      </c>
      <c r="Z32" s="19" t="str">
        <f t="shared" si="11"/>
        <v>728.10</v>
      </c>
      <c r="AA32" s="19" t="str">
        <f t="shared" si="12"/>
        <v>4368.60</v>
      </c>
      <c r="AB32" s="19">
        <v>1.0</v>
      </c>
      <c r="AC32" s="19">
        <v>7.1</v>
      </c>
      <c r="AD32" s="19" t="str">
        <f t="shared" si="13"/>
        <v>4463.25</v>
      </c>
      <c r="AE32" s="19" t="str">
        <f t="shared" si="14"/>
        <v>26779.52</v>
      </c>
      <c r="AF32" s="19">
        <v>6.13</v>
      </c>
      <c r="AG32" s="19">
        <v>6.1</v>
      </c>
      <c r="AH32" s="19" t="s">
        <v>6</v>
      </c>
      <c r="AI32" s="19" t="str">
        <f t="shared" si="15"/>
        <v>26885.23</v>
      </c>
      <c r="AJ32" s="19" t="str">
        <f t="shared" si="16"/>
        <v>41543.79</v>
      </c>
      <c r="AK32" s="19" t="str">
        <f t="shared" si="17"/>
        <v>281078.95</v>
      </c>
      <c r="AL32" s="19" t="str">
        <f t="shared" si="18"/>
        <v>322622.74</v>
      </c>
      <c r="AM32" s="19">
        <v>272041.83</v>
      </c>
      <c r="AN32" s="19" t="str">
        <f t="shared" si="19"/>
        <v>-50580.91</v>
      </c>
    </row>
    <row r="33" ht="12.75" customHeight="1">
      <c r="A33" s="17">
        <v>19.0</v>
      </c>
      <c r="B33" s="18" t="s">
        <v>55</v>
      </c>
      <c r="C33" s="19" t="str">
        <f t="shared" si="1"/>
        <v>24841.93</v>
      </c>
      <c r="D33" s="19" t="str">
        <f t="shared" si="2"/>
        <v>149051.58</v>
      </c>
      <c r="E33" s="19">
        <v>3.23</v>
      </c>
      <c r="F33" s="19">
        <v>74.95955244537143</v>
      </c>
      <c r="G33" s="19" t="str">
        <f t="shared" si="3"/>
        <v>0.00</v>
      </c>
      <c r="H33" s="19" t="str">
        <f t="shared" si="4"/>
        <v>0.00</v>
      </c>
      <c r="I33" s="19">
        <v>0.0</v>
      </c>
      <c r="J33" s="19">
        <v>70.2131</v>
      </c>
      <c r="K33" s="19" t="s">
        <v>6</v>
      </c>
      <c r="L33" s="19" t="str">
        <f t="shared" si="5"/>
        <v>0.00</v>
      </c>
      <c r="M33" s="19" t="str">
        <f t="shared" si="6"/>
        <v>0.00</v>
      </c>
      <c r="N33" s="19">
        <v>0.0</v>
      </c>
      <c r="O33" s="19">
        <v>4.7468</v>
      </c>
      <c r="P33" s="19" t="s">
        <v>6</v>
      </c>
      <c r="Q33" s="19" t="str">
        <f t="shared" si="7"/>
        <v>5946.75</v>
      </c>
      <c r="R33" s="19" t="str">
        <f t="shared" si="8"/>
        <v>35680.52</v>
      </c>
      <c r="S33" s="19">
        <v>3.23</v>
      </c>
      <c r="T33" s="19">
        <v>17.944094657024227</v>
      </c>
      <c r="U33" s="19" t="str">
        <f t="shared" si="9"/>
        <v>0.00</v>
      </c>
      <c r="V33" s="19" t="str">
        <f t="shared" si="10"/>
        <v>0.00</v>
      </c>
      <c r="W33" s="19">
        <v>0.0</v>
      </c>
      <c r="X33" s="19"/>
      <c r="Y33" s="19" t="s">
        <v>6</v>
      </c>
      <c r="Z33" s="19" t="str">
        <f t="shared" si="11"/>
        <v>3633.22</v>
      </c>
      <c r="AA33" s="19" t="str">
        <f t="shared" si="12"/>
        <v>21799.31</v>
      </c>
      <c r="AB33" s="19">
        <v>4.99</v>
      </c>
      <c r="AC33" s="19">
        <v>7.1</v>
      </c>
      <c r="AD33" s="19" t="str">
        <f t="shared" si="13"/>
        <v>0.00</v>
      </c>
      <c r="AE33" s="19" t="str">
        <f t="shared" si="14"/>
        <v>0.00</v>
      </c>
      <c r="AF33" s="19">
        <v>0.0</v>
      </c>
      <c r="AG33" s="19">
        <v>6.1</v>
      </c>
      <c r="AH33" s="19" t="s">
        <v>6</v>
      </c>
      <c r="AI33" s="19" t="str">
        <f t="shared" si="15"/>
        <v>17210.95</v>
      </c>
      <c r="AJ33" s="19" t="str">
        <f t="shared" si="16"/>
        <v>206531.41</v>
      </c>
      <c r="AK33" s="19" t="str">
        <f t="shared" si="17"/>
        <v>0.00</v>
      </c>
      <c r="AL33" s="19" t="str">
        <f t="shared" si="18"/>
        <v>206531.41</v>
      </c>
      <c r="AM33" s="19">
        <v>206531.41</v>
      </c>
      <c r="AN33" s="19" t="str">
        <f t="shared" si="19"/>
        <v>0.00</v>
      </c>
    </row>
    <row r="34" ht="12.75" customHeight="1">
      <c r="A34" s="17">
        <v>20.0</v>
      </c>
      <c r="B34" s="18" t="s">
        <v>56</v>
      </c>
      <c r="C34" s="19" t="str">
        <f t="shared" si="1"/>
        <v>29994.90</v>
      </c>
      <c r="D34" s="19" t="str">
        <f t="shared" si="2"/>
        <v>179969.40</v>
      </c>
      <c r="E34" s="19">
        <v>3.9</v>
      </c>
      <c r="F34" s="19">
        <v>74.95955244537143</v>
      </c>
      <c r="G34" s="19" t="str">
        <f t="shared" si="3"/>
        <v>29392.32</v>
      </c>
      <c r="H34" s="19" t="str">
        <f t="shared" si="4"/>
        <v>176353.92</v>
      </c>
      <c r="I34" s="19">
        <v>4.08</v>
      </c>
      <c r="J34" s="19">
        <v>70.2131</v>
      </c>
      <c r="K34" s="19" t="s">
        <v>6</v>
      </c>
      <c r="L34" s="19" t="str">
        <f t="shared" si="5"/>
        <v>1797.03</v>
      </c>
      <c r="M34" s="19" t="str">
        <f t="shared" si="6"/>
        <v>10782.18</v>
      </c>
      <c r="N34" s="19">
        <v>3.69</v>
      </c>
      <c r="O34" s="19">
        <v>4.7468</v>
      </c>
      <c r="P34" s="19" t="s">
        <v>6</v>
      </c>
      <c r="Q34" s="19" t="str">
        <f t="shared" si="7"/>
        <v>7180.29</v>
      </c>
      <c r="R34" s="19" t="str">
        <f t="shared" si="8"/>
        <v>43081.74</v>
      </c>
      <c r="S34" s="19">
        <v>3.9</v>
      </c>
      <c r="T34" s="19">
        <v>17.944094657024227</v>
      </c>
      <c r="U34" s="19" t="str">
        <f t="shared" si="9"/>
        <v>9408.02</v>
      </c>
      <c r="V34" s="19" t="str">
        <f t="shared" si="10"/>
        <v>56448.13</v>
      </c>
      <c r="W34" s="19">
        <v>5.11</v>
      </c>
      <c r="X34" s="19"/>
      <c r="Y34" s="19" t="s">
        <v>6</v>
      </c>
      <c r="Z34" s="19" t="str">
        <f t="shared" si="11"/>
        <v>4390.44</v>
      </c>
      <c r="AA34" s="19" t="str">
        <f t="shared" si="12"/>
        <v>26342.66</v>
      </c>
      <c r="AB34" s="19">
        <v>6.03</v>
      </c>
      <c r="AC34" s="19">
        <v>7.1</v>
      </c>
      <c r="AD34" s="19" t="str">
        <f t="shared" si="13"/>
        <v>4463.25</v>
      </c>
      <c r="AE34" s="19" t="str">
        <f t="shared" si="14"/>
        <v>26779.52</v>
      </c>
      <c r="AF34" s="19">
        <v>6.13</v>
      </c>
      <c r="AG34" s="19">
        <v>6.1</v>
      </c>
      <c r="AH34" s="19" t="s">
        <v>6</v>
      </c>
      <c r="AI34" s="19" t="str">
        <f t="shared" si="15"/>
        <v>43313.13</v>
      </c>
      <c r="AJ34" s="19" t="str">
        <f t="shared" si="16"/>
        <v>249393.80</v>
      </c>
      <c r="AK34" s="19" t="str">
        <f t="shared" si="17"/>
        <v>270363.74</v>
      </c>
      <c r="AL34" s="19" t="str">
        <f t="shared" si="18"/>
        <v>519757.54</v>
      </c>
      <c r="AM34" s="19"/>
      <c r="AN34" s="19" t="str">
        <f t="shared" si="19"/>
        <v>-519757.54</v>
      </c>
    </row>
    <row r="35" ht="12.75" customHeight="1">
      <c r="A35" s="17">
        <v>21.0</v>
      </c>
      <c r="B35" s="18" t="s">
        <v>57</v>
      </c>
      <c r="C35" s="19" t="str">
        <f t="shared" si="1"/>
        <v>10844.31</v>
      </c>
      <c r="D35" s="19" t="str">
        <f t="shared" si="2"/>
        <v>65065.86</v>
      </c>
      <c r="E35" s="19">
        <v>1.41</v>
      </c>
      <c r="F35" s="19">
        <v>74.95955244537143</v>
      </c>
      <c r="G35" s="19" t="str">
        <f t="shared" si="3"/>
        <v>0.00</v>
      </c>
      <c r="H35" s="19" t="str">
        <f t="shared" si="4"/>
        <v>0.00</v>
      </c>
      <c r="I35" s="19">
        <v>0.0</v>
      </c>
      <c r="J35" s="19">
        <v>70.2131</v>
      </c>
      <c r="K35" s="19" t="s">
        <v>6</v>
      </c>
      <c r="L35" s="19" t="str">
        <f t="shared" si="5"/>
        <v>0.00</v>
      </c>
      <c r="M35" s="19" t="str">
        <f t="shared" si="6"/>
        <v>0.00</v>
      </c>
      <c r="N35" s="19">
        <v>0.0</v>
      </c>
      <c r="O35" s="19">
        <v>4.7468</v>
      </c>
      <c r="P35" s="19" t="s">
        <v>6</v>
      </c>
      <c r="Q35" s="19" t="str">
        <f t="shared" si="7"/>
        <v>2595.95</v>
      </c>
      <c r="R35" s="19" t="str">
        <f t="shared" si="8"/>
        <v>15575.71</v>
      </c>
      <c r="S35" s="19">
        <v>1.41</v>
      </c>
      <c r="T35" s="19">
        <v>17.944094657024227</v>
      </c>
      <c r="U35" s="19" t="str">
        <f t="shared" si="9"/>
        <v>0.00</v>
      </c>
      <c r="V35" s="19" t="str">
        <f t="shared" si="10"/>
        <v>0.00</v>
      </c>
      <c r="W35" s="19">
        <v>0.0</v>
      </c>
      <c r="X35" s="19"/>
      <c r="Y35" s="19" t="s">
        <v>6</v>
      </c>
      <c r="Z35" s="19" t="str">
        <f t="shared" si="11"/>
        <v>1594.54</v>
      </c>
      <c r="AA35" s="19" t="str">
        <f t="shared" si="12"/>
        <v>9567.23</v>
      </c>
      <c r="AB35" s="19">
        <v>2.19</v>
      </c>
      <c r="AC35" s="19">
        <v>7.1</v>
      </c>
      <c r="AD35" s="19" t="str">
        <f t="shared" si="13"/>
        <v>0.00</v>
      </c>
      <c r="AE35" s="19" t="str">
        <f t="shared" si="14"/>
        <v>0.00</v>
      </c>
      <c r="AF35" s="19">
        <v>0.0</v>
      </c>
      <c r="AG35" s="19">
        <v>6.1</v>
      </c>
      <c r="AH35" s="19" t="s">
        <v>6</v>
      </c>
      <c r="AI35" s="19" t="str">
        <f t="shared" si="15"/>
        <v>7517.40</v>
      </c>
      <c r="AJ35" s="19" t="str">
        <f t="shared" si="16"/>
        <v>90208.80</v>
      </c>
      <c r="AK35" s="19" t="str">
        <f t="shared" si="17"/>
        <v>0.00</v>
      </c>
      <c r="AL35" s="19" t="str">
        <f t="shared" si="18"/>
        <v>90208.80</v>
      </c>
      <c r="AM35" s="19"/>
      <c r="AN35" s="19" t="str">
        <f t="shared" si="19"/>
        <v>-90208.80</v>
      </c>
    </row>
    <row r="36" ht="12.75" customHeight="1">
      <c r="A36" s="8">
        <v>22.0</v>
      </c>
      <c r="B36" s="20" t="s">
        <v>58</v>
      </c>
      <c r="C36" s="21" t="str">
        <f t="shared" ref="C36:E36" si="20">SUM(C15:C35)</f>
        <v>378166.47</v>
      </c>
      <c r="D36" s="21" t="str">
        <f t="shared" si="20"/>
        <v>2268998.82</v>
      </c>
      <c r="E36" s="21" t="str">
        <f t="shared" si="20"/>
        <v>49.17</v>
      </c>
      <c r="F36" s="21">
        <v>74.95955244537143</v>
      </c>
      <c r="G36" s="21" t="str">
        <f t="shared" ref="G36:I36" si="21">SUM(G15:G35)</f>
        <v>397516.72</v>
      </c>
      <c r="H36" s="21" t="str">
        <f t="shared" si="21"/>
        <v>2385100.32</v>
      </c>
      <c r="I36" s="21" t="str">
        <f t="shared" si="21"/>
        <v>55.18</v>
      </c>
      <c r="J36" s="21"/>
      <c r="K36" s="21"/>
      <c r="L36" s="21" t="str">
        <f t="shared" ref="L36:N36" si="22">SUM(L15:L35)</f>
        <v>24281.82</v>
      </c>
      <c r="M36" s="21" t="str">
        <f t="shared" si="22"/>
        <v>145690.92</v>
      </c>
      <c r="N36" s="21" t="str">
        <f t="shared" si="22"/>
        <v>49.86</v>
      </c>
      <c r="O36" s="21"/>
      <c r="P36" s="21"/>
      <c r="Q36" s="21" t="str">
        <f t="shared" ref="Q36:S36" si="23">SUM(Q15:Q35)</f>
        <v>90526.89</v>
      </c>
      <c r="R36" s="21" t="str">
        <f t="shared" si="23"/>
        <v>543161.32</v>
      </c>
      <c r="S36" s="21" t="str">
        <f t="shared" si="23"/>
        <v>49.17</v>
      </c>
      <c r="T36" s="21">
        <v>17.944094657024227</v>
      </c>
      <c r="U36" s="21" t="str">
        <f t="shared" ref="U36:AB36" si="24">SUM(U15:U35)</f>
        <v>113485.40</v>
      </c>
      <c r="V36" s="21" t="str">
        <f t="shared" si="24"/>
        <v>680912.42</v>
      </c>
      <c r="W36" s="21" t="str">
        <f t="shared" si="24"/>
        <v>61.64</v>
      </c>
      <c r="X36" s="21" t="str">
        <f t="shared" si="24"/>
        <v>0.00</v>
      </c>
      <c r="Y36" s="21" t="str">
        <f t="shared" si="24"/>
        <v>0.00</v>
      </c>
      <c r="Z36" s="21" t="str">
        <f t="shared" si="24"/>
        <v>55350.16</v>
      </c>
      <c r="AA36" s="21" t="str">
        <f t="shared" si="24"/>
        <v>332100.97</v>
      </c>
      <c r="AB36" s="21" t="str">
        <f t="shared" si="24"/>
        <v>76.02</v>
      </c>
      <c r="AC36" s="21">
        <v>7.1</v>
      </c>
      <c r="AD36" s="21" t="str">
        <f t="shared" ref="AD36:AF36" si="25">SUM(AD15:AD35)</f>
        <v>59420.24</v>
      </c>
      <c r="AE36" s="21" t="str">
        <f t="shared" si="25"/>
        <v>356521.45</v>
      </c>
      <c r="AF36" s="21" t="str">
        <f t="shared" si="25"/>
        <v>81.61</v>
      </c>
      <c r="AG36" s="21"/>
      <c r="AH36" s="19" t="s">
        <v>6</v>
      </c>
      <c r="AI36" s="21" t="str">
        <f t="shared" si="15"/>
        <v>559373.85</v>
      </c>
      <c r="AJ36" s="21" t="str">
        <f t="shared" ref="AJ36:AK36" si="26">SUM(AJ15:AJ35)</f>
        <v>3144261.11</v>
      </c>
      <c r="AK36" s="21" t="str">
        <f t="shared" si="26"/>
        <v>3568225.11</v>
      </c>
      <c r="AL36" s="21" t="str">
        <f t="shared" si="18"/>
        <v>6712486.22</v>
      </c>
      <c r="AM36" s="21" t="str">
        <f t="shared" ref="AM36:AN36" si="27">SUM(AM15:AM35)</f>
        <v>5246534.61</v>
      </c>
      <c r="AN36" s="21" t="str">
        <f t="shared" si="27"/>
        <v>-1465951.61</v>
      </c>
    </row>
    <row r="37" ht="12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ht="12.75" customHeight="1">
      <c r="A38" s="9" t="s">
        <v>59</v>
      </c>
      <c r="B38" s="21"/>
      <c r="C38" s="21" t="str">
        <f>C36</f>
        <v>378166.47</v>
      </c>
      <c r="D38" s="21"/>
      <c r="E38" s="21" t="str">
        <f>E36</f>
        <v>49.17</v>
      </c>
      <c r="F38" s="9"/>
      <c r="G38" s="9"/>
      <c r="H38" s="9"/>
      <c r="I38" s="9"/>
      <c r="J38" s="9"/>
      <c r="K38" s="21"/>
      <c r="L38" s="21"/>
      <c r="M38" s="21"/>
      <c r="N38" s="21"/>
      <c r="O38" s="21"/>
      <c r="P38" s="21"/>
      <c r="Q38" s="21" t="str">
        <f>Q36</f>
        <v>90526.89</v>
      </c>
      <c r="R38" s="21"/>
      <c r="S38" s="21" t="str">
        <f>S36</f>
        <v>49.17</v>
      </c>
      <c r="T38" s="9"/>
      <c r="U38" s="9"/>
      <c r="V38" s="9"/>
      <c r="W38" s="9"/>
      <c r="X38" s="21" t="str">
        <f>#REF!</f>
        <v>#REF!</v>
      </c>
      <c r="Y38" s="9"/>
      <c r="Z38" s="21" t="str">
        <f>Z36</f>
        <v>55350.16</v>
      </c>
      <c r="AA38" s="9"/>
      <c r="AB38" s="21" t="str">
        <f>AB36</f>
        <v>76.02</v>
      </c>
      <c r="AC38" s="9"/>
      <c r="AD38" s="9"/>
      <c r="AE38" s="9"/>
      <c r="AF38" s="9"/>
      <c r="AG38" s="9"/>
      <c r="AH38" s="9"/>
      <c r="AI38" s="21" t="str">
        <f>AJ36/6</f>
        <v>524043.52</v>
      </c>
      <c r="AJ38" s="21" t="str">
        <f>AJ36</f>
        <v>3144261.11</v>
      </c>
      <c r="AK38" s="22"/>
      <c r="AL38" s="22"/>
      <c r="AM38" s="2"/>
      <c r="AN38" s="2"/>
    </row>
    <row r="39" ht="12.75" customHeight="1">
      <c r="A39" s="9" t="s">
        <v>60</v>
      </c>
      <c r="B39" s="9"/>
      <c r="C39" s="9"/>
      <c r="D39" s="9"/>
      <c r="E39" s="9"/>
      <c r="F39" s="21" t="str">
        <f>#REF!</f>
        <v>#REF!</v>
      </c>
      <c r="G39" s="21" t="str">
        <f>G36</f>
        <v>397516.72</v>
      </c>
      <c r="H39" s="21"/>
      <c r="I39" s="21" t="str">
        <f>I36</f>
        <v>55.18</v>
      </c>
      <c r="J39" s="9"/>
      <c r="K39" s="9"/>
      <c r="L39" s="21" t="str">
        <f>L36</f>
        <v>24281.82</v>
      </c>
      <c r="M39" s="9"/>
      <c r="N39" s="21" t="str">
        <f>N36</f>
        <v>49.86</v>
      </c>
      <c r="O39" s="9"/>
      <c r="P39" s="9"/>
      <c r="Q39" s="9"/>
      <c r="R39" s="9"/>
      <c r="S39" s="9"/>
      <c r="T39" s="21"/>
      <c r="U39" s="21" t="str">
        <f>U36</f>
        <v>113485.40</v>
      </c>
      <c r="V39" s="21"/>
      <c r="W39" s="21" t="str">
        <f>W36</f>
        <v>61.64</v>
      </c>
      <c r="X39" s="9"/>
      <c r="Y39" s="9"/>
      <c r="Z39" s="9"/>
      <c r="AA39" s="9"/>
      <c r="AB39" s="21"/>
      <c r="AC39" s="9"/>
      <c r="AD39" s="21" t="str">
        <f>AD36</f>
        <v>59420.24</v>
      </c>
      <c r="AE39" s="22"/>
      <c r="AF39" s="21" t="str">
        <f>AF36</f>
        <v>81.61</v>
      </c>
      <c r="AG39" s="9"/>
      <c r="AH39" s="9"/>
      <c r="AI39" s="21" t="str">
        <f>AK36/6</f>
        <v>594704.19</v>
      </c>
      <c r="AJ39" s="19"/>
      <c r="AK39" s="21" t="str">
        <f>AK36</f>
        <v>3568225.11</v>
      </c>
      <c r="AL39" s="19"/>
      <c r="AM39" s="2"/>
      <c r="AN39" s="2"/>
    </row>
    <row r="40" ht="12.75" customHeight="1">
      <c r="A40" s="9" t="s">
        <v>61</v>
      </c>
      <c r="B40" s="9"/>
      <c r="C40" s="21" t="str">
        <f>C38</f>
        <v>378166.47</v>
      </c>
      <c r="D40" s="9"/>
      <c r="E40" s="21"/>
      <c r="F40" s="9"/>
      <c r="G40" s="21" t="str">
        <f>G39</f>
        <v>397516.72</v>
      </c>
      <c r="H40" s="9"/>
      <c r="I40" s="21"/>
      <c r="J40" s="9"/>
      <c r="K40" s="9"/>
      <c r="L40" s="21" t="str">
        <f>L36</f>
        <v>24281.82</v>
      </c>
      <c r="M40" s="9"/>
      <c r="N40" s="21"/>
      <c r="O40" s="9"/>
      <c r="P40" s="9"/>
      <c r="Q40" s="21" t="str">
        <f>Q38</f>
        <v>90526.89</v>
      </c>
      <c r="R40" s="9"/>
      <c r="S40" s="21"/>
      <c r="T40" s="9"/>
      <c r="U40" s="21" t="str">
        <f>U39</f>
        <v>113485.40</v>
      </c>
      <c r="V40" s="9"/>
      <c r="W40" s="21"/>
      <c r="X40" s="9"/>
      <c r="Y40" s="9"/>
      <c r="Z40" s="21" t="str">
        <f>Z38</f>
        <v>55350.16</v>
      </c>
      <c r="AA40" s="9"/>
      <c r="AB40" s="21"/>
      <c r="AC40" s="9"/>
      <c r="AD40" s="21" t="str">
        <f>AD39</f>
        <v>59420.24</v>
      </c>
      <c r="AE40" s="22"/>
      <c r="AF40" s="21"/>
      <c r="AG40" s="9"/>
      <c r="AH40" s="9"/>
      <c r="AI40" s="21" t="str">
        <f>SUM(AI38:AI39)/2</f>
        <v>559373.85</v>
      </c>
      <c r="AJ40" s="22"/>
      <c r="AK40" s="21"/>
      <c r="AL40" s="21" t="str">
        <f>SUM(AJ38+AK39)</f>
        <v>6712486.22</v>
      </c>
      <c r="AM40" s="2"/>
      <c r="AN40" s="2"/>
    </row>
    <row r="41" ht="12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ht="12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ht="12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ht="12.75" customHeight="1">
      <c r="A44" s="1"/>
      <c r="B44" s="23" t="s">
        <v>62</v>
      </c>
      <c r="C44" s="23"/>
      <c r="D44" s="23" t="s">
        <v>63</v>
      </c>
      <c r="E44" s="2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ht="12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ht="12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ht="12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ht="12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ht="12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ht="12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ht="12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ht="12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ht="12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ht="12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ht="12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ht="12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ht="12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ht="12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ht="12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ht="12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ht="12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ht="12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ht="12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ht="12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ht="12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ht="12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ht="12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ht="12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ht="12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ht="12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ht="12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ht="12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ht="12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ht="12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ht="12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ht="12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ht="12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ht="12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ht="12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ht="12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ht="12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ht="12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ht="12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ht="12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ht="12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ht="12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ht="12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ht="12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ht="12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ht="12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ht="12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ht="12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ht="12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ht="12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ht="12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ht="12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ht="12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ht="12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ht="12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ht="12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</sheetData>
  <mergeCells count="7">
    <mergeCell ref="C13:F13"/>
    <mergeCell ref="AD13:AG13"/>
    <mergeCell ref="Q13:T13"/>
    <mergeCell ref="Z13:AC13"/>
    <mergeCell ref="G13:J13"/>
    <mergeCell ref="U13:X13"/>
    <mergeCell ref="L13:O13"/>
  </mergeCells>
  <printOptions/>
  <pageMargins bottom="0.75" footer="0.0" header="0.0" left="0.7" right="0.7" top="0.75"/>
  <pageSetup fitToHeight="0" paperSize="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19.0"/>
    <col customWidth="1" min="3" max="3" width="8.71"/>
    <col customWidth="1" min="4" max="4" width="9.0"/>
    <col customWidth="1" min="5" max="5" width="6.14"/>
    <col customWidth="1" min="6" max="6" width="6.57"/>
    <col customWidth="1" min="7" max="7" width="7.14"/>
    <col customWidth="1" min="8" max="8" width="9.43"/>
    <col customWidth="1" min="9" max="9" width="6.43"/>
    <col customWidth="1" min="10" max="10" width="5.14"/>
    <col customWidth="1" min="11" max="11" width="2.14"/>
    <col customWidth="1" min="12" max="12" width="8.71"/>
    <col customWidth="1" min="13" max="13" width="8.14"/>
    <col customWidth="1" min="14" max="14" width="6.29"/>
    <col customWidth="1" min="15" max="15" width="0.71"/>
    <col customWidth="1" min="16" max="16" width="3.71"/>
    <col customWidth="1" min="17" max="17" width="6.43"/>
    <col customWidth="1" min="18" max="18" width="7.71"/>
    <col customWidth="1" min="19" max="19" width="5.43"/>
    <col customWidth="1" min="20" max="20" width="4.29"/>
    <col customWidth="1" min="21" max="21" width="3.71"/>
    <col customWidth="1" min="22" max="22" width="9.14"/>
    <col customWidth="1" min="23" max="23" width="9.29"/>
    <col customWidth="1" min="24" max="24" width="9.14"/>
    <col customWidth="1" min="25" max="25" width="8.71"/>
  </cols>
  <sheetData>
    <row r="1">
      <c r="B1" s="24"/>
      <c r="E1" s="25"/>
      <c r="I1" s="25"/>
      <c r="N1" s="25"/>
      <c r="S1" s="25"/>
    </row>
    <row r="2">
      <c r="B2" s="24"/>
      <c r="E2" s="25"/>
      <c r="I2" s="25"/>
      <c r="N2" s="25"/>
      <c r="S2" s="25"/>
    </row>
    <row r="3">
      <c r="B3" s="24"/>
      <c r="E3" s="25"/>
      <c r="I3" s="25"/>
      <c r="N3" s="25"/>
      <c r="S3" s="25"/>
    </row>
    <row r="4">
      <c r="B4" s="24"/>
      <c r="E4" s="25"/>
      <c r="I4" s="25"/>
      <c r="N4" s="25"/>
      <c r="S4" s="25"/>
    </row>
    <row r="5">
      <c r="B5" s="24"/>
      <c r="E5" s="25"/>
      <c r="I5" s="25"/>
      <c r="N5" s="25"/>
      <c r="S5" s="25"/>
    </row>
    <row r="6">
      <c r="A6" s="26"/>
      <c r="B6" s="27"/>
      <c r="C6" s="28" t="s">
        <v>13</v>
      </c>
      <c r="D6" s="11"/>
      <c r="E6" s="11"/>
      <c r="F6" s="12"/>
      <c r="G6" s="28" t="s">
        <v>14</v>
      </c>
      <c r="H6" s="11"/>
      <c r="I6" s="11"/>
      <c r="J6" s="12"/>
      <c r="K6" s="29"/>
      <c r="L6" s="30" t="s">
        <v>16</v>
      </c>
      <c r="M6" s="11"/>
      <c r="N6" s="11"/>
      <c r="O6" s="12"/>
      <c r="P6" s="31"/>
      <c r="Q6" s="32" t="s">
        <v>18</v>
      </c>
      <c r="R6" s="11"/>
      <c r="S6" s="11"/>
      <c r="T6" s="12"/>
      <c r="U6" s="29"/>
      <c r="V6" s="29"/>
      <c r="W6" s="29"/>
      <c r="X6" s="29"/>
      <c r="Y6" s="29"/>
    </row>
    <row r="7">
      <c r="A7" s="33" t="s">
        <v>19</v>
      </c>
      <c r="B7" s="34" t="s">
        <v>20</v>
      </c>
      <c r="C7" s="35" t="s">
        <v>21</v>
      </c>
      <c r="D7" s="35" t="s">
        <v>24</v>
      </c>
      <c r="E7" s="36" t="s">
        <v>23</v>
      </c>
      <c r="F7" s="29"/>
      <c r="G7" s="37" t="s">
        <v>25</v>
      </c>
      <c r="H7" s="37" t="s">
        <v>24</v>
      </c>
      <c r="I7" s="38" t="s">
        <v>23</v>
      </c>
      <c r="J7" s="29"/>
      <c r="K7" s="29"/>
      <c r="L7" s="39" t="s">
        <v>26</v>
      </c>
      <c r="M7" s="39" t="s">
        <v>28</v>
      </c>
      <c r="N7" s="40" t="s">
        <v>23</v>
      </c>
      <c r="O7" s="29"/>
      <c r="P7" s="29"/>
      <c r="Q7" s="41" t="s">
        <v>29</v>
      </c>
      <c r="R7" s="41" t="s">
        <v>28</v>
      </c>
      <c r="S7" s="36" t="s">
        <v>23</v>
      </c>
      <c r="T7" s="29"/>
      <c r="U7" s="29"/>
      <c r="V7" s="33" t="s">
        <v>31</v>
      </c>
      <c r="W7" s="33" t="s">
        <v>32</v>
      </c>
      <c r="X7" s="33" t="s">
        <v>33</v>
      </c>
      <c r="Y7" s="35" t="s">
        <v>34</v>
      </c>
    </row>
    <row r="8">
      <c r="A8" s="42">
        <v>1.0</v>
      </c>
      <c r="B8" s="43" t="s">
        <v>37</v>
      </c>
      <c r="C8" s="44" t="str">
        <f t="shared" ref="C8:C28" si="1">D8/6</f>
        <v>1861.82</v>
      </c>
      <c r="D8" s="44" t="str">
        <f t="shared" ref="D8:D28" si="2">X8/100*F8</f>
        <v>11170.90</v>
      </c>
      <c r="E8" s="45" t="str">
        <f t="shared" ref="E8:E28" si="3">C8/6876.49</f>
        <v>0.27</v>
      </c>
      <c r="F8" s="44">
        <v>70.2131</v>
      </c>
      <c r="G8" s="44" t="str">
        <f t="shared" ref="G8:G28" si="4">H8/6</f>
        <v>125.87</v>
      </c>
      <c r="H8" s="44" t="str">
        <f t="shared" ref="H8:H28" si="5">X8/100*J8</f>
        <v>755.22</v>
      </c>
      <c r="I8" s="45" t="str">
        <f t="shared" ref="I8:I28" si="6">G8/514.7</f>
        <v>0.24</v>
      </c>
      <c r="J8" s="44">
        <v>4.7468</v>
      </c>
      <c r="K8" s="44" t="s">
        <v>6</v>
      </c>
      <c r="L8" s="44" t="str">
        <f t="shared" ref="L8:L28" si="7">M8/6</f>
        <v>475.82</v>
      </c>
      <c r="M8" s="44" t="str">
        <f t="shared" ref="M8:M28" si="8">X8/100*17.94409</f>
        <v>2854.90</v>
      </c>
      <c r="N8" s="46" t="str">
        <f t="shared" ref="N8:N13" si="9">L8/1762</f>
        <v>0.27</v>
      </c>
      <c r="O8" s="44"/>
      <c r="P8" s="44" t="s">
        <v>6</v>
      </c>
      <c r="Q8" s="44" t="str">
        <f t="shared" ref="Q8:Q28" si="10">R8/6</f>
        <v>161.75</v>
      </c>
      <c r="R8" s="44" t="str">
        <f t="shared" ref="R8:R28" si="11">X8/100*T8</f>
        <v>970.51</v>
      </c>
      <c r="S8" s="45">
        <v>0.41</v>
      </c>
      <c r="T8" s="44">
        <v>6.1</v>
      </c>
      <c r="U8" s="44" t="s">
        <v>6</v>
      </c>
      <c r="V8" s="44" t="str">
        <f t="shared" ref="V8:V28" si="12">(#REF!+C8+#REF!+L8+#REF!+Q8)/6</f>
        <v>#REF!</v>
      </c>
      <c r="W8" s="44">
        <v>15910.0</v>
      </c>
      <c r="X8" s="44" t="str">
        <f t="shared" ref="X8:X23" si="13">Y8-W8</f>
        <v>15910.00</v>
      </c>
      <c r="Y8" s="44">
        <v>31820.0</v>
      </c>
    </row>
    <row r="9">
      <c r="A9" s="42">
        <v>2.0</v>
      </c>
      <c r="B9" s="43" t="s">
        <v>38</v>
      </c>
      <c r="C9" s="44" t="str">
        <f t="shared" si="1"/>
        <v>7849.82</v>
      </c>
      <c r="D9" s="44" t="str">
        <f t="shared" si="2"/>
        <v>47098.95</v>
      </c>
      <c r="E9" s="45" t="str">
        <f t="shared" si="3"/>
        <v>1.14</v>
      </c>
      <c r="F9" s="44">
        <v>70.2131</v>
      </c>
      <c r="G9" s="44" t="str">
        <f t="shared" si="4"/>
        <v>530.69</v>
      </c>
      <c r="H9" s="44" t="str">
        <f t="shared" si="5"/>
        <v>3184.15</v>
      </c>
      <c r="I9" s="45" t="str">
        <f t="shared" si="6"/>
        <v>1.03</v>
      </c>
      <c r="J9" s="44">
        <v>4.7468</v>
      </c>
      <c r="K9" s="44" t="s">
        <v>6</v>
      </c>
      <c r="L9" s="44" t="str">
        <f t="shared" si="7"/>
        <v>2006.15</v>
      </c>
      <c r="M9" s="44" t="str">
        <f t="shared" si="8"/>
        <v>12036.90</v>
      </c>
      <c r="N9" s="46" t="str">
        <f t="shared" si="9"/>
        <v>1.14</v>
      </c>
      <c r="O9" s="44"/>
      <c r="P9" s="44" t="s">
        <v>6</v>
      </c>
      <c r="Q9" s="44" t="str">
        <f t="shared" si="10"/>
        <v>681.98</v>
      </c>
      <c r="R9" s="44" t="str">
        <f t="shared" si="11"/>
        <v>4091.88</v>
      </c>
      <c r="S9" s="45">
        <v>1.72</v>
      </c>
      <c r="T9" s="44">
        <v>6.1</v>
      </c>
      <c r="U9" s="44" t="s">
        <v>6</v>
      </c>
      <c r="V9" s="44" t="str">
        <f t="shared" si="12"/>
        <v>#REF!</v>
      </c>
      <c r="W9" s="44">
        <v>67080.0</v>
      </c>
      <c r="X9" s="44" t="str">
        <f t="shared" si="13"/>
        <v>67080.00</v>
      </c>
      <c r="Y9" s="44">
        <v>134160.0</v>
      </c>
    </row>
    <row r="10">
      <c r="A10" s="42">
        <v>3.0</v>
      </c>
      <c r="B10" s="43" t="s">
        <v>39</v>
      </c>
      <c r="C10" s="44" t="str">
        <f t="shared" si="1"/>
        <v>877.66</v>
      </c>
      <c r="D10" s="44" t="str">
        <f t="shared" si="2"/>
        <v>5265.98</v>
      </c>
      <c r="E10" s="45" t="str">
        <f t="shared" si="3"/>
        <v>0.13</v>
      </c>
      <c r="F10" s="44">
        <v>70.2131</v>
      </c>
      <c r="G10" s="44" t="str">
        <f t="shared" si="4"/>
        <v>59.34</v>
      </c>
      <c r="H10" s="44" t="str">
        <f t="shared" si="5"/>
        <v>356.01</v>
      </c>
      <c r="I10" s="45" t="str">
        <f t="shared" si="6"/>
        <v>0.12</v>
      </c>
      <c r="J10" s="44">
        <v>4.7468</v>
      </c>
      <c r="K10" s="44" t="s">
        <v>6</v>
      </c>
      <c r="L10" s="44" t="str">
        <f t="shared" si="7"/>
        <v>224.30</v>
      </c>
      <c r="M10" s="44" t="str">
        <f t="shared" si="8"/>
        <v>1345.81</v>
      </c>
      <c r="N10" s="46" t="str">
        <f t="shared" si="9"/>
        <v>0.13</v>
      </c>
      <c r="O10" s="44"/>
      <c r="P10" s="44" t="s">
        <v>6</v>
      </c>
      <c r="Q10" s="44" t="str">
        <f t="shared" si="10"/>
        <v>76.25</v>
      </c>
      <c r="R10" s="44" t="str">
        <f t="shared" si="11"/>
        <v>457.50</v>
      </c>
      <c r="S10" s="45">
        <v>0.19</v>
      </c>
      <c r="T10" s="44">
        <v>6.1</v>
      </c>
      <c r="U10" s="44" t="s">
        <v>6</v>
      </c>
      <c r="V10" s="44" t="str">
        <f t="shared" si="12"/>
        <v>#REF!</v>
      </c>
      <c r="W10" s="44">
        <v>7500.0</v>
      </c>
      <c r="X10" s="44" t="str">
        <f t="shared" si="13"/>
        <v>7500.00</v>
      </c>
      <c r="Y10" s="44">
        <v>15000.0</v>
      </c>
    </row>
    <row r="11">
      <c r="A11" s="42">
        <v>4.0</v>
      </c>
      <c r="B11" s="43" t="s">
        <v>40</v>
      </c>
      <c r="C11" s="44" t="str">
        <f t="shared" si="1"/>
        <v>351.07</v>
      </c>
      <c r="D11" s="44" t="str">
        <f t="shared" si="2"/>
        <v>2106.39</v>
      </c>
      <c r="E11" s="45" t="str">
        <f t="shared" si="3"/>
        <v>0.05</v>
      </c>
      <c r="F11" s="44">
        <v>70.2131</v>
      </c>
      <c r="G11" s="44" t="str">
        <f t="shared" si="4"/>
        <v>23.73</v>
      </c>
      <c r="H11" s="44" t="str">
        <f t="shared" si="5"/>
        <v>142.40</v>
      </c>
      <c r="I11" s="45" t="str">
        <f t="shared" si="6"/>
        <v>0.05</v>
      </c>
      <c r="J11" s="44">
        <v>4.7468</v>
      </c>
      <c r="K11" s="44" t="s">
        <v>6</v>
      </c>
      <c r="L11" s="44" t="str">
        <f t="shared" si="7"/>
        <v>89.72</v>
      </c>
      <c r="M11" s="44" t="str">
        <f t="shared" si="8"/>
        <v>538.32</v>
      </c>
      <c r="N11" s="46" t="str">
        <f t="shared" si="9"/>
        <v>0.05</v>
      </c>
      <c r="O11" s="44"/>
      <c r="P11" s="44" t="s">
        <v>6</v>
      </c>
      <c r="Q11" s="44" t="str">
        <f t="shared" si="10"/>
        <v>30.50</v>
      </c>
      <c r="R11" s="44" t="str">
        <f t="shared" si="11"/>
        <v>183.00</v>
      </c>
      <c r="S11" s="45">
        <v>0.07</v>
      </c>
      <c r="T11" s="44">
        <v>6.1</v>
      </c>
      <c r="U11" s="44" t="s">
        <v>6</v>
      </c>
      <c r="V11" s="44" t="str">
        <f t="shared" si="12"/>
        <v>#REF!</v>
      </c>
      <c r="W11" s="44">
        <v>3000.0</v>
      </c>
      <c r="X11" s="44" t="str">
        <f t="shared" si="13"/>
        <v>3000.00</v>
      </c>
      <c r="Y11" s="44">
        <v>6000.0</v>
      </c>
    </row>
    <row r="12" ht="65.25" customHeight="1">
      <c r="A12" s="42">
        <v>5.0</v>
      </c>
      <c r="B12" s="43" t="s">
        <v>41</v>
      </c>
      <c r="C12" s="44" t="str">
        <f t="shared" si="1"/>
        <v>18723.49</v>
      </c>
      <c r="D12" s="44" t="str">
        <f t="shared" si="2"/>
        <v>112340.96</v>
      </c>
      <c r="E12" s="45" t="str">
        <f t="shared" si="3"/>
        <v>2.72</v>
      </c>
      <c r="F12" s="44">
        <v>70.2131</v>
      </c>
      <c r="G12" s="44" t="str">
        <f t="shared" si="4"/>
        <v>1265.81</v>
      </c>
      <c r="H12" s="44" t="str">
        <f t="shared" si="5"/>
        <v>7594.88</v>
      </c>
      <c r="I12" s="45" t="str">
        <f t="shared" si="6"/>
        <v>2.46</v>
      </c>
      <c r="J12" s="44">
        <v>4.7468</v>
      </c>
      <c r="K12" s="44" t="s">
        <v>6</v>
      </c>
      <c r="L12" s="44" t="str">
        <f t="shared" si="7"/>
        <v>4785.09</v>
      </c>
      <c r="M12" s="44" t="str">
        <f t="shared" si="8"/>
        <v>28710.54</v>
      </c>
      <c r="N12" s="46" t="str">
        <f t="shared" si="9"/>
        <v>2.72</v>
      </c>
      <c r="O12" s="44"/>
      <c r="P12" s="44" t="s">
        <v>6</v>
      </c>
      <c r="Q12" s="44" t="str">
        <f t="shared" si="10"/>
        <v>1626.67</v>
      </c>
      <c r="R12" s="44" t="str">
        <f t="shared" si="11"/>
        <v>9760.00</v>
      </c>
      <c r="S12" s="45">
        <v>4.1</v>
      </c>
      <c r="T12" s="44">
        <v>6.1</v>
      </c>
      <c r="U12" s="44" t="s">
        <v>6</v>
      </c>
      <c r="V12" s="44" t="str">
        <f t="shared" si="12"/>
        <v>#REF!</v>
      </c>
      <c r="W12" s="44">
        <v>138000.0</v>
      </c>
      <c r="X12" s="44" t="str">
        <f t="shared" si="13"/>
        <v>160000.00</v>
      </c>
      <c r="Y12" s="44">
        <v>298000.0</v>
      </c>
    </row>
    <row r="13">
      <c r="A13" s="42">
        <v>6.0</v>
      </c>
      <c r="B13" s="43" t="s">
        <v>42</v>
      </c>
      <c r="C13" s="44" t="str">
        <f t="shared" si="1"/>
        <v>351.07</v>
      </c>
      <c r="D13" s="44" t="str">
        <f t="shared" si="2"/>
        <v>2106.39</v>
      </c>
      <c r="E13" s="45" t="str">
        <f t="shared" si="3"/>
        <v>0.05</v>
      </c>
      <c r="F13" s="44">
        <v>70.2131</v>
      </c>
      <c r="G13" s="44" t="str">
        <f t="shared" si="4"/>
        <v>23.73</v>
      </c>
      <c r="H13" s="44" t="str">
        <f t="shared" si="5"/>
        <v>142.40</v>
      </c>
      <c r="I13" s="45" t="str">
        <f t="shared" si="6"/>
        <v>0.05</v>
      </c>
      <c r="J13" s="44">
        <v>4.7468</v>
      </c>
      <c r="K13" s="44" t="s">
        <v>6</v>
      </c>
      <c r="L13" s="44" t="str">
        <f t="shared" si="7"/>
        <v>89.72</v>
      </c>
      <c r="M13" s="44" t="str">
        <f t="shared" si="8"/>
        <v>538.32</v>
      </c>
      <c r="N13" s="46" t="str">
        <f t="shared" si="9"/>
        <v>0.05</v>
      </c>
      <c r="O13" s="44"/>
      <c r="P13" s="44" t="s">
        <v>6</v>
      </c>
      <c r="Q13" s="44" t="str">
        <f t="shared" si="10"/>
        <v>30.50</v>
      </c>
      <c r="R13" s="44" t="str">
        <f t="shared" si="11"/>
        <v>183.00</v>
      </c>
      <c r="S13" s="45">
        <v>0.07</v>
      </c>
      <c r="T13" s="44">
        <v>6.1</v>
      </c>
      <c r="U13" s="44" t="s">
        <v>6</v>
      </c>
      <c r="V13" s="44" t="str">
        <f t="shared" si="12"/>
        <v>#REF!</v>
      </c>
      <c r="W13" s="44">
        <v>3000.0</v>
      </c>
      <c r="X13" s="44" t="str">
        <f t="shared" si="13"/>
        <v>3000.00</v>
      </c>
      <c r="Y13" s="44">
        <v>6000.0</v>
      </c>
    </row>
    <row r="14">
      <c r="A14" s="42">
        <v>7.0</v>
      </c>
      <c r="B14" s="43" t="s">
        <v>43</v>
      </c>
      <c r="C14" s="44" t="str">
        <f t="shared" si="1"/>
        <v>7334.07</v>
      </c>
      <c r="D14" s="44" t="str">
        <f t="shared" si="2"/>
        <v>44004.40</v>
      </c>
      <c r="E14" s="45" t="str">
        <f t="shared" si="3"/>
        <v>1.07</v>
      </c>
      <c r="F14" s="44">
        <v>70.2131</v>
      </c>
      <c r="G14" s="44" t="str">
        <f t="shared" si="4"/>
        <v>495.82</v>
      </c>
      <c r="H14" s="44" t="str">
        <f t="shared" si="5"/>
        <v>2974.94</v>
      </c>
      <c r="I14" s="45" t="str">
        <f t="shared" si="6"/>
        <v>0.96</v>
      </c>
      <c r="J14" s="44">
        <v>4.7468</v>
      </c>
      <c r="K14" s="44" t="s">
        <v>6</v>
      </c>
      <c r="L14" s="44" t="str">
        <f t="shared" si="7"/>
        <v>1874.34</v>
      </c>
      <c r="M14" s="44" t="str">
        <f t="shared" si="8"/>
        <v>11246.03</v>
      </c>
      <c r="N14" s="46">
        <v>1.07</v>
      </c>
      <c r="O14" s="44"/>
      <c r="P14" s="44" t="s">
        <v>6</v>
      </c>
      <c r="Q14" s="44" t="str">
        <f t="shared" si="10"/>
        <v>637.17</v>
      </c>
      <c r="R14" s="44" t="str">
        <f t="shared" si="11"/>
        <v>3823.03</v>
      </c>
      <c r="S14" s="45">
        <v>1.61</v>
      </c>
      <c r="T14" s="44">
        <v>6.1</v>
      </c>
      <c r="U14" s="44" t="s">
        <v>6</v>
      </c>
      <c r="V14" s="44" t="str">
        <f t="shared" si="12"/>
        <v>#REF!</v>
      </c>
      <c r="W14" s="44" t="str">
        <f>Y14/2</f>
        <v>62672.64</v>
      </c>
      <c r="X14" s="44" t="str">
        <f t="shared" si="13"/>
        <v>62672.64</v>
      </c>
      <c r="Y14" s="44">
        <v>125345.28</v>
      </c>
    </row>
    <row r="15" ht="33.0" customHeight="1">
      <c r="A15" s="42">
        <v>8.0</v>
      </c>
      <c r="B15" s="43" t="s">
        <v>44</v>
      </c>
      <c r="C15" s="44" t="str">
        <f t="shared" si="1"/>
        <v>28553.33</v>
      </c>
      <c r="D15" s="44" t="str">
        <f t="shared" si="2"/>
        <v>171319.96</v>
      </c>
      <c r="E15" s="45" t="str">
        <f t="shared" si="3"/>
        <v>4.15</v>
      </c>
      <c r="F15" s="44">
        <v>70.2131</v>
      </c>
      <c r="G15" s="44" t="str">
        <f t="shared" si="4"/>
        <v>1930.37</v>
      </c>
      <c r="H15" s="44" t="str">
        <f t="shared" si="5"/>
        <v>11582.19</v>
      </c>
      <c r="I15" s="45" t="str">
        <f t="shared" si="6"/>
        <v>3.75</v>
      </c>
      <c r="J15" s="44">
        <v>4.7468</v>
      </c>
      <c r="K15" s="44" t="s">
        <v>6</v>
      </c>
      <c r="L15" s="44" t="str">
        <f t="shared" si="7"/>
        <v>7297.26</v>
      </c>
      <c r="M15" s="44" t="str">
        <f t="shared" si="8"/>
        <v>43783.58</v>
      </c>
      <c r="N15" s="46">
        <v>4.15</v>
      </c>
      <c r="O15" s="44"/>
      <c r="P15" s="44" t="s">
        <v>6</v>
      </c>
      <c r="Q15" s="44" t="str">
        <f t="shared" si="10"/>
        <v>2480.67</v>
      </c>
      <c r="R15" s="44" t="str">
        <f t="shared" si="11"/>
        <v>14884.00</v>
      </c>
      <c r="S15" s="45">
        <v>6.24</v>
      </c>
      <c r="T15" s="44">
        <v>6.1</v>
      </c>
      <c r="U15" s="44" t="s">
        <v>6</v>
      </c>
      <c r="V15" s="44" t="str">
        <f t="shared" si="12"/>
        <v>#REF!</v>
      </c>
      <c r="W15" s="44">
        <v>96000.0</v>
      </c>
      <c r="X15" s="44" t="str">
        <f t="shared" si="13"/>
        <v>244000.00</v>
      </c>
      <c r="Y15" s="44">
        <v>340000.0</v>
      </c>
    </row>
    <row r="16">
      <c r="A16" s="47">
        <v>9.0</v>
      </c>
      <c r="B16" s="48" t="s">
        <v>45</v>
      </c>
      <c r="C16" s="49" t="str">
        <f t="shared" si="1"/>
        <v>5313.96</v>
      </c>
      <c r="D16" s="49" t="str">
        <f t="shared" si="2"/>
        <v>31883.77</v>
      </c>
      <c r="E16" s="45" t="str">
        <f t="shared" si="3"/>
        <v>0.77</v>
      </c>
      <c r="F16" s="49">
        <v>70.2131</v>
      </c>
      <c r="G16" s="49" t="str">
        <f t="shared" si="4"/>
        <v>359.25</v>
      </c>
      <c r="H16" s="49" t="str">
        <f t="shared" si="5"/>
        <v>2155.52</v>
      </c>
      <c r="I16" s="50" t="str">
        <f t="shared" si="6"/>
        <v>0.70</v>
      </c>
      <c r="J16" s="49">
        <v>4.7468</v>
      </c>
      <c r="K16" s="49" t="s">
        <v>6</v>
      </c>
      <c r="L16" s="49" t="str">
        <f t="shared" si="7"/>
        <v>1358.07</v>
      </c>
      <c r="M16" s="49" t="str">
        <f t="shared" si="8"/>
        <v>8148.41</v>
      </c>
      <c r="N16" s="46" t="str">
        <f>L16/1762</f>
        <v>0.77</v>
      </c>
      <c r="O16" s="49"/>
      <c r="P16" s="49" t="s">
        <v>6</v>
      </c>
      <c r="Q16" s="49" t="str">
        <f t="shared" si="10"/>
        <v>461.67</v>
      </c>
      <c r="R16" s="49" t="str">
        <f t="shared" si="11"/>
        <v>2770.01</v>
      </c>
      <c r="S16" s="45">
        <v>1.16</v>
      </c>
      <c r="T16" s="49">
        <v>6.1</v>
      </c>
      <c r="U16" s="49" t="s">
        <v>6</v>
      </c>
      <c r="V16" s="49" t="str">
        <f t="shared" si="12"/>
        <v>#REF!</v>
      </c>
      <c r="W16" s="49">
        <v>21600.0</v>
      </c>
      <c r="X16" s="49" t="str">
        <f t="shared" si="13"/>
        <v>45410.00</v>
      </c>
      <c r="Y16" s="49">
        <v>67010.0</v>
      </c>
    </row>
    <row r="17" ht="35.25" customHeight="1">
      <c r="A17" s="42">
        <v>10.0</v>
      </c>
      <c r="B17" s="43" t="s">
        <v>46</v>
      </c>
      <c r="C17" s="44" t="str">
        <f t="shared" si="1"/>
        <v>168854.27</v>
      </c>
      <c r="D17" s="44" t="str">
        <f t="shared" si="2"/>
        <v>1013125.65</v>
      </c>
      <c r="E17" s="45" t="str">
        <f t="shared" si="3"/>
        <v>24.56</v>
      </c>
      <c r="F17" s="44">
        <v>70.2131</v>
      </c>
      <c r="G17" s="44" t="str">
        <f t="shared" si="4"/>
        <v>11415.50</v>
      </c>
      <c r="H17" s="44" t="str">
        <f t="shared" si="5"/>
        <v>68492.99</v>
      </c>
      <c r="I17" s="45" t="str">
        <f t="shared" si="6"/>
        <v>22.18</v>
      </c>
      <c r="J17" s="44">
        <v>4.7468</v>
      </c>
      <c r="K17" s="44" t="s">
        <v>6</v>
      </c>
      <c r="L17" s="44" t="str">
        <f t="shared" si="7"/>
        <v>43153.43</v>
      </c>
      <c r="M17" s="44" t="str">
        <f t="shared" si="8"/>
        <v>258920.60</v>
      </c>
      <c r="N17" s="46">
        <v>24.56</v>
      </c>
      <c r="O17" s="44"/>
      <c r="P17" s="44" t="s">
        <v>6</v>
      </c>
      <c r="Q17" s="44" t="str">
        <f t="shared" si="10"/>
        <v>14669.78</v>
      </c>
      <c r="R17" s="44" t="str">
        <f t="shared" si="11"/>
        <v>88018.71</v>
      </c>
      <c r="S17" s="45">
        <v>36.9</v>
      </c>
      <c r="T17" s="44">
        <v>6.1</v>
      </c>
      <c r="U17" s="44" t="s">
        <v>6</v>
      </c>
      <c r="V17" s="44" t="str">
        <f t="shared" si="12"/>
        <v>#REF!</v>
      </c>
      <c r="W17" s="44">
        <v>1654654.51</v>
      </c>
      <c r="X17" s="44" t="str">
        <f t="shared" si="13"/>
        <v>1442929.66</v>
      </c>
      <c r="Y17" s="44">
        <v>3097584.17</v>
      </c>
    </row>
    <row r="18">
      <c r="A18" s="42">
        <v>11.0</v>
      </c>
      <c r="B18" s="43" t="s">
        <v>47</v>
      </c>
      <c r="C18" s="44" t="str">
        <f t="shared" si="1"/>
        <v>28670.35</v>
      </c>
      <c r="D18" s="44" t="str">
        <f t="shared" si="2"/>
        <v>172022.10</v>
      </c>
      <c r="E18" s="45" t="str">
        <f t="shared" si="3"/>
        <v>4.17</v>
      </c>
      <c r="F18" s="44">
        <v>70.2131</v>
      </c>
      <c r="G18" s="44" t="str">
        <f t="shared" si="4"/>
        <v>1938.28</v>
      </c>
      <c r="H18" s="44" t="str">
        <f t="shared" si="5"/>
        <v>11629.66</v>
      </c>
      <c r="I18" s="45" t="str">
        <f t="shared" si="6"/>
        <v>3.77</v>
      </c>
      <c r="J18" s="44">
        <v>4.7468</v>
      </c>
      <c r="K18" s="44" t="s">
        <v>6</v>
      </c>
      <c r="L18" s="44" t="str">
        <f t="shared" si="7"/>
        <v>7327.17</v>
      </c>
      <c r="M18" s="44" t="str">
        <f t="shared" si="8"/>
        <v>43963.02</v>
      </c>
      <c r="N18" s="46">
        <v>4.17</v>
      </c>
      <c r="O18" s="44"/>
      <c r="P18" s="44" t="s">
        <v>6</v>
      </c>
      <c r="Q18" s="44" t="str">
        <f t="shared" si="10"/>
        <v>2490.83</v>
      </c>
      <c r="R18" s="44" t="str">
        <f t="shared" si="11"/>
        <v>14945.00</v>
      </c>
      <c r="S18" s="45">
        <v>6.3</v>
      </c>
      <c r="T18" s="44">
        <v>6.1</v>
      </c>
      <c r="U18" s="44" t="s">
        <v>6</v>
      </c>
      <c r="V18" s="44" t="str">
        <f t="shared" si="12"/>
        <v>#REF!</v>
      </c>
      <c r="W18" s="44">
        <v>145000.0</v>
      </c>
      <c r="X18" s="44" t="str">
        <f t="shared" si="13"/>
        <v>245000.00</v>
      </c>
      <c r="Y18" s="44">
        <v>390000.0</v>
      </c>
    </row>
    <row r="19">
      <c r="A19" s="42">
        <v>12.0</v>
      </c>
      <c r="B19" s="43" t="s">
        <v>48</v>
      </c>
      <c r="C19" s="44" t="str">
        <f t="shared" si="1"/>
        <v>4119.17</v>
      </c>
      <c r="D19" s="44" t="str">
        <f t="shared" si="2"/>
        <v>24715.01</v>
      </c>
      <c r="E19" s="45" t="str">
        <f t="shared" si="3"/>
        <v>0.60</v>
      </c>
      <c r="F19" s="44">
        <v>70.2131</v>
      </c>
      <c r="G19" s="44" t="str">
        <f t="shared" si="4"/>
        <v>278.48</v>
      </c>
      <c r="H19" s="44" t="str">
        <f t="shared" si="5"/>
        <v>1670.87</v>
      </c>
      <c r="I19" s="45" t="str">
        <f t="shared" si="6"/>
        <v>0.54</v>
      </c>
      <c r="J19" s="44">
        <v>4.7468</v>
      </c>
      <c r="K19" s="44" t="s">
        <v>6</v>
      </c>
      <c r="L19" s="44" t="str">
        <f t="shared" si="7"/>
        <v>1052.72</v>
      </c>
      <c r="M19" s="44" t="str">
        <f t="shared" si="8"/>
        <v>6316.32</v>
      </c>
      <c r="N19" s="46" t="str">
        <f t="shared" ref="N19:N22" si="14">L19/1762</f>
        <v>0.60</v>
      </c>
      <c r="O19" s="44"/>
      <c r="P19" s="44" t="s">
        <v>6</v>
      </c>
      <c r="Q19" s="44" t="str">
        <f t="shared" si="10"/>
        <v>357.87</v>
      </c>
      <c r="R19" s="44" t="str">
        <f t="shared" si="11"/>
        <v>2147.20</v>
      </c>
      <c r="S19" s="45">
        <v>0.9</v>
      </c>
      <c r="T19" s="44">
        <v>6.1</v>
      </c>
      <c r="U19" s="44" t="s">
        <v>6</v>
      </c>
      <c r="V19" s="44" t="str">
        <f t="shared" si="12"/>
        <v>#REF!</v>
      </c>
      <c r="W19" s="44">
        <v>16800.0</v>
      </c>
      <c r="X19" s="44" t="str">
        <f t="shared" si="13"/>
        <v>35200.00</v>
      </c>
      <c r="Y19" s="44">
        <v>52000.0</v>
      </c>
    </row>
    <row r="20">
      <c r="A20" s="42">
        <v>13.0</v>
      </c>
      <c r="B20" s="43" t="s">
        <v>49</v>
      </c>
      <c r="C20" s="44" t="str">
        <f t="shared" si="1"/>
        <v>70.21</v>
      </c>
      <c r="D20" s="44" t="str">
        <f t="shared" si="2"/>
        <v>421.28</v>
      </c>
      <c r="E20" s="45" t="str">
        <f t="shared" si="3"/>
        <v>0.01</v>
      </c>
      <c r="F20" s="44">
        <v>70.2131</v>
      </c>
      <c r="G20" s="44" t="str">
        <f t="shared" si="4"/>
        <v>4.75</v>
      </c>
      <c r="H20" s="44" t="str">
        <f t="shared" si="5"/>
        <v>28.48</v>
      </c>
      <c r="I20" s="45" t="str">
        <f t="shared" si="6"/>
        <v>0.01</v>
      </c>
      <c r="J20" s="44">
        <v>4.7468</v>
      </c>
      <c r="K20" s="44" t="s">
        <v>6</v>
      </c>
      <c r="L20" s="44" t="str">
        <f t="shared" si="7"/>
        <v>17.94</v>
      </c>
      <c r="M20" s="44" t="str">
        <f t="shared" si="8"/>
        <v>107.66</v>
      </c>
      <c r="N20" s="46" t="str">
        <f t="shared" si="14"/>
        <v>0.01</v>
      </c>
      <c r="O20" s="44"/>
      <c r="P20" s="44" t="s">
        <v>6</v>
      </c>
      <c r="Q20" s="44" t="str">
        <f t="shared" si="10"/>
        <v>6.10</v>
      </c>
      <c r="R20" s="44" t="str">
        <f t="shared" si="11"/>
        <v>36.60</v>
      </c>
      <c r="S20" s="45" t="str">
        <f>Q20/477.1</f>
        <v>0.01</v>
      </c>
      <c r="T20" s="44">
        <v>6.1</v>
      </c>
      <c r="U20" s="44" t="s">
        <v>6</v>
      </c>
      <c r="V20" s="44" t="str">
        <f t="shared" si="12"/>
        <v>#REF!</v>
      </c>
      <c r="W20" s="44">
        <v>600.0</v>
      </c>
      <c r="X20" s="44" t="str">
        <f t="shared" si="13"/>
        <v>600.00</v>
      </c>
      <c r="Y20" s="44">
        <v>1200.0</v>
      </c>
    </row>
    <row r="21" ht="15.75" customHeight="1">
      <c r="A21" s="42">
        <v>14.0</v>
      </c>
      <c r="B21" s="43" t="s">
        <v>50</v>
      </c>
      <c r="C21" s="44" t="str">
        <f t="shared" si="1"/>
        <v>1123.41</v>
      </c>
      <c r="D21" s="44" t="str">
        <f t="shared" si="2"/>
        <v>6740.46</v>
      </c>
      <c r="E21" s="45" t="str">
        <f t="shared" si="3"/>
        <v>0.16</v>
      </c>
      <c r="F21" s="44">
        <v>70.2131</v>
      </c>
      <c r="G21" s="44" t="str">
        <f t="shared" si="4"/>
        <v>75.95</v>
      </c>
      <c r="H21" s="44" t="str">
        <f t="shared" si="5"/>
        <v>455.69</v>
      </c>
      <c r="I21" s="45" t="str">
        <f t="shared" si="6"/>
        <v>0.15</v>
      </c>
      <c r="J21" s="44">
        <v>4.7468</v>
      </c>
      <c r="K21" s="44" t="s">
        <v>6</v>
      </c>
      <c r="L21" s="44" t="str">
        <f t="shared" si="7"/>
        <v>287.11</v>
      </c>
      <c r="M21" s="44" t="str">
        <f t="shared" si="8"/>
        <v>1722.63</v>
      </c>
      <c r="N21" s="46" t="str">
        <f t="shared" si="14"/>
        <v>0.16</v>
      </c>
      <c r="O21" s="44"/>
      <c r="P21" s="44" t="s">
        <v>6</v>
      </c>
      <c r="Q21" s="44" t="str">
        <f t="shared" si="10"/>
        <v>97.60</v>
      </c>
      <c r="R21" s="44" t="str">
        <f t="shared" si="11"/>
        <v>585.60</v>
      </c>
      <c r="S21" s="45">
        <v>0.24</v>
      </c>
      <c r="T21" s="44">
        <v>6.1</v>
      </c>
      <c r="U21" s="44" t="s">
        <v>6</v>
      </c>
      <c r="V21" s="44" t="str">
        <f t="shared" si="12"/>
        <v>#REF!</v>
      </c>
      <c r="W21" s="44">
        <v>9600.0</v>
      </c>
      <c r="X21" s="44" t="str">
        <f t="shared" si="13"/>
        <v>9600.00</v>
      </c>
      <c r="Y21" s="44">
        <v>19200.0</v>
      </c>
    </row>
    <row r="22" ht="15.75" customHeight="1">
      <c r="A22" s="42">
        <v>15.0</v>
      </c>
      <c r="B22" s="43" t="s">
        <v>51</v>
      </c>
      <c r="C22" s="44" t="str">
        <f t="shared" si="1"/>
        <v>11702.18</v>
      </c>
      <c r="D22" s="44" t="str">
        <f t="shared" si="2"/>
        <v>70213.10</v>
      </c>
      <c r="E22" s="45" t="str">
        <f t="shared" si="3"/>
        <v>1.70</v>
      </c>
      <c r="F22" s="44">
        <v>70.2131</v>
      </c>
      <c r="G22" s="44" t="str">
        <f t="shared" si="4"/>
        <v>791.13</v>
      </c>
      <c r="H22" s="44" t="str">
        <f t="shared" si="5"/>
        <v>4746.80</v>
      </c>
      <c r="I22" s="45" t="str">
        <f t="shared" si="6"/>
        <v>1.54</v>
      </c>
      <c r="J22" s="44">
        <v>4.7468</v>
      </c>
      <c r="K22" s="44" t="s">
        <v>6</v>
      </c>
      <c r="L22" s="44" t="str">
        <f t="shared" si="7"/>
        <v>2990.68</v>
      </c>
      <c r="M22" s="44" t="str">
        <f t="shared" si="8"/>
        <v>17944.09</v>
      </c>
      <c r="N22" s="46" t="str">
        <f t="shared" si="14"/>
        <v>1.70</v>
      </c>
      <c r="O22" s="44"/>
      <c r="P22" s="44" t="s">
        <v>6</v>
      </c>
      <c r="Q22" s="44" t="str">
        <f t="shared" si="10"/>
        <v>1016.67</v>
      </c>
      <c r="R22" s="44" t="str">
        <f t="shared" si="11"/>
        <v>6100.00</v>
      </c>
      <c r="S22" s="45">
        <v>2.56</v>
      </c>
      <c r="T22" s="44">
        <v>6.1</v>
      </c>
      <c r="U22" s="44" t="s">
        <v>6</v>
      </c>
      <c r="V22" s="44" t="str">
        <f t="shared" si="12"/>
        <v>#REF!</v>
      </c>
      <c r="W22" s="44">
        <v>90000.0</v>
      </c>
      <c r="X22" s="44" t="str">
        <f t="shared" si="13"/>
        <v>100000.00</v>
      </c>
      <c r="Y22" s="44">
        <v>190000.0</v>
      </c>
    </row>
    <row r="23" ht="15.75" customHeight="1">
      <c r="A23" s="42">
        <v>16.0</v>
      </c>
      <c r="B23" s="43" t="s">
        <v>52</v>
      </c>
      <c r="C23" s="44" t="str">
        <f t="shared" si="1"/>
        <v>4446.83</v>
      </c>
      <c r="D23" s="44" t="str">
        <f t="shared" si="2"/>
        <v>26680.98</v>
      </c>
      <c r="E23" s="45" t="str">
        <f t="shared" si="3"/>
        <v>0.65</v>
      </c>
      <c r="F23" s="44">
        <v>70.2131</v>
      </c>
      <c r="G23" s="44" t="str">
        <f t="shared" si="4"/>
        <v>300.63</v>
      </c>
      <c r="H23" s="44" t="str">
        <f t="shared" si="5"/>
        <v>1803.78</v>
      </c>
      <c r="I23" s="45" t="str">
        <f t="shared" si="6"/>
        <v>0.58</v>
      </c>
      <c r="J23" s="44">
        <v>4.7468</v>
      </c>
      <c r="K23" s="44" t="s">
        <v>6</v>
      </c>
      <c r="L23" s="44" t="str">
        <f t="shared" si="7"/>
        <v>1136.46</v>
      </c>
      <c r="M23" s="44" t="str">
        <f t="shared" si="8"/>
        <v>6818.75</v>
      </c>
      <c r="N23" s="46">
        <v>0.65</v>
      </c>
      <c r="O23" s="44"/>
      <c r="P23" s="44" t="s">
        <v>6</v>
      </c>
      <c r="Q23" s="44" t="str">
        <f t="shared" si="10"/>
        <v>386.33</v>
      </c>
      <c r="R23" s="44" t="str">
        <f t="shared" si="11"/>
        <v>2318.00</v>
      </c>
      <c r="S23" s="45">
        <v>0.97</v>
      </c>
      <c r="T23" s="44">
        <v>6.1</v>
      </c>
      <c r="U23" s="44" t="s">
        <v>6</v>
      </c>
      <c r="V23" s="44" t="str">
        <f t="shared" si="12"/>
        <v>#REF!</v>
      </c>
      <c r="W23" s="44">
        <v>37000.0</v>
      </c>
      <c r="X23" s="44" t="str">
        <f t="shared" si="13"/>
        <v>38000.00</v>
      </c>
      <c r="Y23" s="44">
        <v>75000.0</v>
      </c>
    </row>
    <row r="24" ht="15.75" customHeight="1">
      <c r="A24" s="51">
        <v>17.0</v>
      </c>
      <c r="B24" s="52" t="s">
        <v>53</v>
      </c>
      <c r="C24" s="53" t="str">
        <f t="shared" si="1"/>
        <v>33117.18</v>
      </c>
      <c r="D24" s="53" t="str">
        <f t="shared" si="2"/>
        <v>198703.07</v>
      </c>
      <c r="E24" s="45" t="str">
        <f t="shared" si="3"/>
        <v>4.82</v>
      </c>
      <c r="F24" s="53">
        <v>70.2131</v>
      </c>
      <c r="G24" s="53" t="str">
        <f t="shared" si="4"/>
        <v>2238.91</v>
      </c>
      <c r="H24" s="53" t="str">
        <f t="shared" si="5"/>
        <v>13433.44</v>
      </c>
      <c r="I24" s="54" t="str">
        <f t="shared" si="6"/>
        <v>4.35</v>
      </c>
      <c r="J24" s="53">
        <v>4.7468</v>
      </c>
      <c r="K24" s="53" t="s">
        <v>6</v>
      </c>
      <c r="L24" s="53" t="str">
        <f t="shared" si="7"/>
        <v>8463.63</v>
      </c>
      <c r="M24" s="53" t="str">
        <f t="shared" si="8"/>
        <v>50781.77</v>
      </c>
      <c r="N24" s="46">
        <v>8.25</v>
      </c>
      <c r="O24" s="53"/>
      <c r="P24" s="53" t="s">
        <v>6</v>
      </c>
      <c r="Q24" s="53" t="str">
        <f t="shared" si="10"/>
        <v>2877.17</v>
      </c>
      <c r="R24" s="53" t="str">
        <f t="shared" si="11"/>
        <v>17263.00</v>
      </c>
      <c r="S24" s="45">
        <v>9.9</v>
      </c>
      <c r="T24" s="53">
        <v>6.1</v>
      </c>
      <c r="U24" s="53" t="s">
        <v>6</v>
      </c>
      <c r="V24" s="53" t="str">
        <f t="shared" si="12"/>
        <v>#REF!</v>
      </c>
      <c r="W24" s="53">
        <v>92500.0</v>
      </c>
      <c r="X24" s="53">
        <v>283000.0</v>
      </c>
      <c r="Y24" s="53">
        <v>375500.0</v>
      </c>
    </row>
    <row r="25" ht="15.75" customHeight="1">
      <c r="A25" s="55">
        <v>18.0</v>
      </c>
      <c r="B25" s="56" t="s">
        <v>54</v>
      </c>
      <c r="C25" s="57" t="str">
        <f t="shared" si="1"/>
        <v>28085.24</v>
      </c>
      <c r="D25" s="57" t="str">
        <f t="shared" si="2"/>
        <v>168511.44</v>
      </c>
      <c r="E25" s="45" t="str">
        <f t="shared" si="3"/>
        <v>4.08</v>
      </c>
      <c r="F25" s="57">
        <v>70.2131</v>
      </c>
      <c r="G25" s="57" t="str">
        <f t="shared" si="4"/>
        <v>1898.72</v>
      </c>
      <c r="H25" s="57" t="str">
        <f t="shared" si="5"/>
        <v>11392.32</v>
      </c>
      <c r="I25" s="58" t="str">
        <f t="shared" si="6"/>
        <v>3.69</v>
      </c>
      <c r="J25" s="57">
        <v>4.7468</v>
      </c>
      <c r="K25" s="57" t="s">
        <v>6</v>
      </c>
      <c r="L25" s="57" t="str">
        <f t="shared" si="7"/>
        <v>7177.64</v>
      </c>
      <c r="M25" s="57" t="str">
        <f t="shared" si="8"/>
        <v>43065.82</v>
      </c>
      <c r="N25" s="46">
        <v>6.08</v>
      </c>
      <c r="O25" s="57"/>
      <c r="P25" s="57" t="s">
        <v>6</v>
      </c>
      <c r="Q25" s="57" t="str">
        <f t="shared" si="10"/>
        <v>2440.00</v>
      </c>
      <c r="R25" s="57" t="str">
        <f t="shared" si="11"/>
        <v>14640.00</v>
      </c>
      <c r="S25" s="45">
        <v>6.13</v>
      </c>
      <c r="T25" s="57">
        <v>6.1</v>
      </c>
      <c r="U25" s="57" t="s">
        <v>6</v>
      </c>
      <c r="V25" s="57" t="str">
        <f t="shared" si="12"/>
        <v>#REF!</v>
      </c>
      <c r="W25" s="57">
        <v>40000.0</v>
      </c>
      <c r="X25" s="57" t="str">
        <f t="shared" ref="X25:X28" si="15">Y25-W25</f>
        <v>240000.00</v>
      </c>
      <c r="Y25" s="57">
        <v>280000.0</v>
      </c>
    </row>
    <row r="26" ht="15.75" customHeight="1">
      <c r="A26" s="59">
        <v>19.0</v>
      </c>
      <c r="B26" s="60" t="s">
        <v>55</v>
      </c>
      <c r="C26" s="61" t="str">
        <f t="shared" si="1"/>
        <v>0.00</v>
      </c>
      <c r="D26" s="61" t="str">
        <f t="shared" si="2"/>
        <v>0.00</v>
      </c>
      <c r="E26" s="45" t="str">
        <f t="shared" si="3"/>
        <v>0.00</v>
      </c>
      <c r="F26" s="44">
        <v>70.2131</v>
      </c>
      <c r="G26" s="44" t="str">
        <f t="shared" si="4"/>
        <v>0.00</v>
      </c>
      <c r="H26" s="44" t="str">
        <f t="shared" si="5"/>
        <v>0.00</v>
      </c>
      <c r="I26" s="45" t="str">
        <f t="shared" si="6"/>
        <v>0.00</v>
      </c>
      <c r="J26" s="44">
        <v>4.7468</v>
      </c>
      <c r="K26" s="44" t="s">
        <v>6</v>
      </c>
      <c r="L26" s="61" t="str">
        <f t="shared" si="7"/>
        <v>0.00</v>
      </c>
      <c r="M26" s="61" t="str">
        <f t="shared" si="8"/>
        <v>0.00</v>
      </c>
      <c r="N26" s="46" t="str">
        <f>L26/1762</f>
        <v>0.00</v>
      </c>
      <c r="O26" s="61"/>
      <c r="P26" s="61" t="s">
        <v>6</v>
      </c>
      <c r="Q26" s="61" t="str">
        <f t="shared" si="10"/>
        <v>0.00</v>
      </c>
      <c r="R26" s="61" t="str">
        <f t="shared" si="11"/>
        <v>0.00</v>
      </c>
      <c r="S26" s="45" t="str">
        <f>Q26/477.1</f>
        <v>0.00</v>
      </c>
      <c r="T26" s="44">
        <v>6.1</v>
      </c>
      <c r="U26" s="61" t="s">
        <v>6</v>
      </c>
      <c r="V26" s="61" t="str">
        <f t="shared" si="12"/>
        <v>#REF!</v>
      </c>
      <c r="W26" s="61">
        <v>198870.0</v>
      </c>
      <c r="X26" s="61" t="str">
        <f t="shared" si="15"/>
        <v>0.00</v>
      </c>
      <c r="Y26" s="61">
        <v>198870.0</v>
      </c>
    </row>
    <row r="27" ht="15.75" customHeight="1">
      <c r="A27" s="42">
        <v>20.0</v>
      </c>
      <c r="B27" s="43" t="s">
        <v>56</v>
      </c>
      <c r="C27" s="44" t="str">
        <f t="shared" si="1"/>
        <v>28085.24</v>
      </c>
      <c r="D27" s="44" t="str">
        <f t="shared" si="2"/>
        <v>168511.44</v>
      </c>
      <c r="E27" s="45" t="str">
        <f t="shared" si="3"/>
        <v>4.08</v>
      </c>
      <c r="F27" s="44">
        <v>70.2131</v>
      </c>
      <c r="G27" s="44" t="str">
        <f t="shared" si="4"/>
        <v>1898.72</v>
      </c>
      <c r="H27" s="44" t="str">
        <f t="shared" si="5"/>
        <v>11392.32</v>
      </c>
      <c r="I27" s="45" t="str">
        <f t="shared" si="6"/>
        <v>3.69</v>
      </c>
      <c r="J27" s="44">
        <v>4.7468</v>
      </c>
      <c r="K27" s="44" t="s">
        <v>6</v>
      </c>
      <c r="L27" s="44" t="str">
        <f t="shared" si="7"/>
        <v>7177.64</v>
      </c>
      <c r="M27" s="44" t="str">
        <f t="shared" si="8"/>
        <v>43065.82</v>
      </c>
      <c r="N27" s="46">
        <v>5.11</v>
      </c>
      <c r="O27" s="44"/>
      <c r="P27" s="44" t="s">
        <v>6</v>
      </c>
      <c r="Q27" s="44" t="str">
        <f t="shared" si="10"/>
        <v>2440.00</v>
      </c>
      <c r="R27" s="44" t="str">
        <f t="shared" si="11"/>
        <v>14640.00</v>
      </c>
      <c r="S27" s="45">
        <v>6.13</v>
      </c>
      <c r="T27" s="44">
        <v>6.1</v>
      </c>
      <c r="U27" s="44" t="s">
        <v>6</v>
      </c>
      <c r="V27" s="44" t="str">
        <f t="shared" si="12"/>
        <v>#REF!</v>
      </c>
      <c r="W27" s="44">
        <v>240000.0</v>
      </c>
      <c r="X27" s="44" t="str">
        <f t="shared" si="15"/>
        <v>240000.00</v>
      </c>
      <c r="Y27" s="44">
        <v>480000.0</v>
      </c>
    </row>
    <row r="28" ht="15.75" customHeight="1">
      <c r="A28" s="42">
        <v>21.0</v>
      </c>
      <c r="B28" s="43" t="s">
        <v>57</v>
      </c>
      <c r="C28" s="44" t="str">
        <f t="shared" si="1"/>
        <v>0.00</v>
      </c>
      <c r="D28" s="44" t="str">
        <f t="shared" si="2"/>
        <v>0.00</v>
      </c>
      <c r="E28" s="45" t="str">
        <f t="shared" si="3"/>
        <v>0.00</v>
      </c>
      <c r="F28" s="44">
        <v>70.2131</v>
      </c>
      <c r="G28" s="44" t="str">
        <f t="shared" si="4"/>
        <v>0.00</v>
      </c>
      <c r="H28" s="44" t="str">
        <f t="shared" si="5"/>
        <v>0.00</v>
      </c>
      <c r="I28" s="45" t="str">
        <f t="shared" si="6"/>
        <v>0.00</v>
      </c>
      <c r="J28" s="44">
        <v>4.7468</v>
      </c>
      <c r="K28" s="44" t="s">
        <v>6</v>
      </c>
      <c r="L28" s="44" t="str">
        <f t="shared" si="7"/>
        <v>0.00</v>
      </c>
      <c r="M28" s="44" t="str">
        <f t="shared" si="8"/>
        <v>0.00</v>
      </c>
      <c r="N28" s="46" t="str">
        <f>L28/1762</f>
        <v>0.00</v>
      </c>
      <c r="O28" s="44"/>
      <c r="P28" s="44" t="s">
        <v>6</v>
      </c>
      <c r="Q28" s="44" t="str">
        <f t="shared" si="10"/>
        <v>0.00</v>
      </c>
      <c r="R28" s="44" t="str">
        <f t="shared" si="11"/>
        <v>0.00</v>
      </c>
      <c r="S28" s="45" t="str">
        <f>Q28/477.1</f>
        <v>0.00</v>
      </c>
      <c r="T28" s="44">
        <v>6.1</v>
      </c>
      <c r="U28" s="44" t="s">
        <v>6</v>
      </c>
      <c r="V28" s="44" t="str">
        <f t="shared" si="12"/>
        <v>#REF!</v>
      </c>
      <c r="W28" s="44">
        <v>87000.0</v>
      </c>
      <c r="X28" s="44" t="str">
        <f t="shared" si="15"/>
        <v>0.00</v>
      </c>
      <c r="Y28" s="44">
        <v>87000.0</v>
      </c>
    </row>
    <row r="29" ht="15.75" customHeight="1">
      <c r="A29" s="62">
        <v>25.0</v>
      </c>
      <c r="B29" s="63" t="s">
        <v>58</v>
      </c>
      <c r="C29" s="64" t="str">
        <f t="shared" ref="C29:E29" si="16">SUM(C8:C28)</f>
        <v>379490.37</v>
      </c>
      <c r="D29" s="64" t="str">
        <f t="shared" si="16"/>
        <v>2276942.23</v>
      </c>
      <c r="E29" s="65" t="str">
        <f t="shared" si="16"/>
        <v>55.19</v>
      </c>
      <c r="F29" s="64"/>
      <c r="G29" s="64" t="str">
        <f t="shared" ref="G29:I29" si="17">SUM(G8:G28)</f>
        <v>25655.68</v>
      </c>
      <c r="H29" s="64" t="str">
        <f t="shared" si="17"/>
        <v>153934.09</v>
      </c>
      <c r="I29" s="66" t="str">
        <f t="shared" si="17"/>
        <v>49.85</v>
      </c>
      <c r="J29" s="64"/>
      <c r="K29" s="64"/>
      <c r="L29" s="64" t="str">
        <f t="shared" ref="L29:N29" si="18">SUM(L8:L28)</f>
        <v>96984.88</v>
      </c>
      <c r="M29" s="64" t="str">
        <f t="shared" si="18"/>
        <v>581909.31</v>
      </c>
      <c r="N29" s="67" t="str">
        <f t="shared" si="18"/>
        <v>61.63</v>
      </c>
      <c r="O29" s="64"/>
      <c r="P29" s="44" t="s">
        <v>6</v>
      </c>
      <c r="Q29" s="64" t="str">
        <f t="shared" ref="Q29:S29" si="19">SUM(Q8:Q28)</f>
        <v>32969.51</v>
      </c>
      <c r="R29" s="64" t="str">
        <f t="shared" si="19"/>
        <v>197817.04</v>
      </c>
      <c r="S29" s="65" t="str">
        <f t="shared" si="19"/>
        <v>85.61</v>
      </c>
      <c r="T29" s="64"/>
      <c r="U29" s="44" t="s">
        <v>6</v>
      </c>
      <c r="V29" s="64" t="str">
        <f t="shared" ref="V29:Y29" si="20">SUM(V8:V28)</f>
        <v>#REF!</v>
      </c>
      <c r="W29" s="64" t="str">
        <f t="shared" si="20"/>
        <v>3026787.15</v>
      </c>
      <c r="X29" s="64" t="str">
        <f t="shared" si="20"/>
        <v>3242902.30</v>
      </c>
      <c r="Y29" s="64" t="str">
        <f t="shared" si="20"/>
        <v>6269689.45</v>
      </c>
    </row>
    <row r="30" ht="15.75" customHeight="1">
      <c r="B30" s="24"/>
      <c r="E30" s="25"/>
      <c r="I30" s="25"/>
      <c r="N30" s="25"/>
      <c r="S30" s="25"/>
    </row>
    <row r="31" ht="15.75" customHeight="1">
      <c r="B31" s="24"/>
      <c r="E31" s="25"/>
      <c r="I31" s="25"/>
      <c r="N31" s="25"/>
      <c r="S31" s="25"/>
    </row>
    <row r="32" ht="15.75" customHeight="1">
      <c r="B32" s="24"/>
      <c r="E32" s="25"/>
      <c r="I32" s="25"/>
      <c r="N32" s="25"/>
      <c r="S32" s="25"/>
    </row>
    <row r="33" ht="15.75" customHeight="1">
      <c r="B33" s="24"/>
      <c r="E33" s="25"/>
      <c r="I33" s="25"/>
      <c r="N33" s="25"/>
      <c r="S33" s="25"/>
    </row>
    <row r="34" ht="15.75" customHeight="1">
      <c r="B34" s="24"/>
      <c r="E34" s="25"/>
      <c r="I34" s="25"/>
      <c r="J34" s="68"/>
      <c r="N34" s="25"/>
      <c r="S34" s="25"/>
    </row>
    <row r="35" ht="15.75" customHeight="1">
      <c r="B35" s="24"/>
      <c r="E35" s="25"/>
      <c r="I35" s="25"/>
      <c r="N35" s="25"/>
      <c r="S35" s="25"/>
    </row>
    <row r="36" ht="15.75" customHeight="1">
      <c r="B36" s="24"/>
      <c r="E36" s="25"/>
      <c r="I36" s="25"/>
      <c r="N36" s="25"/>
      <c r="S36" s="25"/>
    </row>
    <row r="37" ht="15.75" customHeight="1">
      <c r="B37" s="24"/>
      <c r="E37" s="25"/>
      <c r="I37" s="25"/>
      <c r="N37" s="25"/>
      <c r="S37" s="25"/>
    </row>
    <row r="38" ht="15.75" customHeight="1">
      <c r="B38" s="24"/>
      <c r="E38" s="25"/>
      <c r="I38" s="25"/>
      <c r="N38" s="25"/>
      <c r="S38" s="25"/>
    </row>
    <row r="39" ht="15.75" customHeight="1">
      <c r="B39" s="24"/>
      <c r="E39" s="25"/>
      <c r="I39" s="25"/>
      <c r="N39" s="25"/>
      <c r="S39" s="25"/>
    </row>
    <row r="40" ht="15.75" customHeight="1">
      <c r="B40" s="24"/>
      <c r="E40" s="25"/>
      <c r="I40" s="25"/>
      <c r="N40" s="25"/>
      <c r="S40" s="25"/>
    </row>
    <row r="41" ht="15.75" customHeight="1">
      <c r="B41" s="24"/>
      <c r="E41" s="25"/>
      <c r="I41" s="25"/>
      <c r="N41" s="25"/>
      <c r="S41" s="25"/>
    </row>
    <row r="42" ht="15.75" customHeight="1">
      <c r="B42" s="24"/>
      <c r="E42" s="25"/>
      <c r="I42" s="25"/>
      <c r="N42" s="25"/>
      <c r="S42" s="25"/>
    </row>
    <row r="43" ht="15.75" customHeight="1">
      <c r="B43" s="24"/>
      <c r="E43" s="25"/>
      <c r="I43" s="25"/>
      <c r="N43" s="25"/>
      <c r="S43" s="25"/>
    </row>
    <row r="44" ht="15.75" customHeight="1">
      <c r="B44" s="24"/>
      <c r="E44" s="25"/>
      <c r="I44" s="25"/>
      <c r="N44" s="25"/>
      <c r="S44" s="25"/>
    </row>
    <row r="45" ht="15.75" customHeight="1">
      <c r="B45" s="24"/>
      <c r="E45" s="25"/>
      <c r="I45" s="25"/>
      <c r="N45" s="25"/>
      <c r="S45" s="25"/>
    </row>
    <row r="46" ht="15.75" customHeight="1">
      <c r="B46" s="24"/>
      <c r="E46" s="25"/>
      <c r="I46" s="25"/>
      <c r="N46" s="25"/>
      <c r="S46" s="25"/>
    </row>
    <row r="47" ht="15.75" customHeight="1">
      <c r="B47" s="24"/>
      <c r="E47" s="25"/>
      <c r="I47" s="25"/>
      <c r="N47" s="25"/>
      <c r="S47" s="25"/>
    </row>
    <row r="48" ht="15.75" customHeight="1">
      <c r="B48" s="24"/>
      <c r="E48" s="25"/>
      <c r="I48" s="25"/>
      <c r="N48" s="25"/>
      <c r="S48" s="25"/>
    </row>
    <row r="49" ht="15.75" customHeight="1">
      <c r="B49" s="24"/>
      <c r="E49" s="25"/>
      <c r="I49" s="25"/>
      <c r="N49" s="25"/>
      <c r="S49" s="25"/>
    </row>
    <row r="50" ht="15.75" customHeight="1">
      <c r="B50" s="24"/>
      <c r="E50" s="25"/>
      <c r="I50" s="25"/>
      <c r="N50" s="25"/>
      <c r="S50" s="25"/>
    </row>
    <row r="51" ht="15.75" customHeight="1">
      <c r="B51" s="24"/>
      <c r="E51" s="25"/>
      <c r="I51" s="25"/>
      <c r="N51" s="25"/>
      <c r="S51" s="25"/>
    </row>
    <row r="52" ht="15.75" customHeight="1">
      <c r="B52" s="24"/>
      <c r="E52" s="25"/>
      <c r="I52" s="25"/>
      <c r="N52" s="25"/>
      <c r="S52" s="25"/>
    </row>
    <row r="53" ht="15.75" customHeight="1">
      <c r="B53" s="24"/>
      <c r="E53" s="25"/>
      <c r="I53" s="25"/>
      <c r="N53" s="25"/>
      <c r="S53" s="25"/>
    </row>
    <row r="54" ht="15.75" customHeight="1">
      <c r="B54" s="24"/>
      <c r="E54" s="25"/>
      <c r="I54" s="25"/>
      <c r="N54" s="25"/>
      <c r="S54" s="25"/>
    </row>
    <row r="55" ht="15.75" customHeight="1">
      <c r="B55" s="24"/>
      <c r="E55" s="25"/>
      <c r="I55" s="25"/>
      <c r="N55" s="25"/>
      <c r="S55" s="25"/>
    </row>
    <row r="56" ht="15.75" customHeight="1">
      <c r="B56" s="24"/>
      <c r="E56" s="25"/>
      <c r="I56" s="25"/>
      <c r="N56" s="25"/>
      <c r="S56" s="25"/>
    </row>
    <row r="57" ht="15.75" customHeight="1">
      <c r="B57" s="24"/>
      <c r="E57" s="25"/>
      <c r="I57" s="25"/>
      <c r="N57" s="25"/>
      <c r="S57" s="25"/>
    </row>
    <row r="58" ht="15.75" customHeight="1">
      <c r="B58" s="24"/>
      <c r="E58" s="25"/>
      <c r="I58" s="25"/>
      <c r="N58" s="25"/>
      <c r="S58" s="25"/>
    </row>
    <row r="59" ht="15.75" customHeight="1">
      <c r="B59" s="24"/>
      <c r="E59" s="25"/>
      <c r="I59" s="25"/>
      <c r="N59" s="25"/>
      <c r="S59" s="25"/>
    </row>
    <row r="60" ht="15.75" customHeight="1">
      <c r="B60" s="24"/>
      <c r="E60" s="25"/>
      <c r="I60" s="25"/>
      <c r="N60" s="25"/>
      <c r="S60" s="25"/>
    </row>
    <row r="61" ht="15.75" customHeight="1">
      <c r="B61" s="24"/>
      <c r="E61" s="25"/>
      <c r="I61" s="25"/>
      <c r="N61" s="25"/>
      <c r="S61" s="25"/>
    </row>
    <row r="62" ht="15.75" customHeight="1">
      <c r="B62" s="24"/>
      <c r="E62" s="25"/>
      <c r="I62" s="25"/>
      <c r="N62" s="25"/>
      <c r="S62" s="25"/>
    </row>
    <row r="63" ht="15.75" customHeight="1">
      <c r="B63" s="24"/>
      <c r="E63" s="25"/>
      <c r="I63" s="25"/>
      <c r="N63" s="25"/>
      <c r="S63" s="25"/>
    </row>
    <row r="64" ht="15.75" customHeight="1">
      <c r="B64" s="24"/>
      <c r="E64" s="25"/>
      <c r="I64" s="25"/>
      <c r="N64" s="25"/>
      <c r="S64" s="25"/>
    </row>
    <row r="65" ht="15.75" customHeight="1">
      <c r="B65" s="24"/>
      <c r="E65" s="25"/>
      <c r="I65" s="25"/>
      <c r="N65" s="25"/>
      <c r="S65" s="25"/>
    </row>
    <row r="66" ht="15.75" customHeight="1">
      <c r="B66" s="24"/>
      <c r="E66" s="25"/>
      <c r="I66" s="25"/>
      <c r="N66" s="25"/>
      <c r="S66" s="25"/>
    </row>
    <row r="67" ht="15.75" customHeight="1">
      <c r="B67" s="24"/>
      <c r="E67" s="25"/>
      <c r="I67" s="25"/>
      <c r="N67" s="25"/>
      <c r="S67" s="25"/>
    </row>
    <row r="68" ht="15.75" customHeight="1">
      <c r="B68" s="24"/>
      <c r="E68" s="25"/>
      <c r="I68" s="25"/>
      <c r="N68" s="25"/>
      <c r="S68" s="25"/>
    </row>
    <row r="69" ht="15.75" customHeight="1">
      <c r="B69" s="24"/>
      <c r="E69" s="25"/>
      <c r="I69" s="25"/>
      <c r="N69" s="25"/>
      <c r="S69" s="25"/>
    </row>
    <row r="70" ht="15.75" customHeight="1">
      <c r="B70" s="24"/>
      <c r="E70" s="25"/>
      <c r="I70" s="25"/>
      <c r="N70" s="25"/>
      <c r="S70" s="25"/>
    </row>
    <row r="71" ht="15.75" customHeight="1">
      <c r="B71" s="24"/>
      <c r="E71" s="25"/>
      <c r="I71" s="25"/>
      <c r="N71" s="25"/>
      <c r="S71" s="25"/>
    </row>
    <row r="72" ht="15.75" customHeight="1">
      <c r="B72" s="24"/>
      <c r="E72" s="25"/>
      <c r="I72" s="25"/>
      <c r="N72" s="25"/>
      <c r="S72" s="25"/>
    </row>
    <row r="73" ht="15.75" customHeight="1">
      <c r="B73" s="24"/>
      <c r="E73" s="25"/>
      <c r="I73" s="25"/>
      <c r="N73" s="25"/>
      <c r="S73" s="25"/>
    </row>
    <row r="74" ht="15.75" customHeight="1">
      <c r="B74" s="24"/>
      <c r="E74" s="25"/>
      <c r="I74" s="25"/>
      <c r="N74" s="25"/>
      <c r="S74" s="25"/>
    </row>
    <row r="75" ht="15.75" customHeight="1">
      <c r="B75" s="24"/>
      <c r="E75" s="25"/>
      <c r="I75" s="25"/>
      <c r="N75" s="25"/>
      <c r="S75" s="25"/>
    </row>
    <row r="76" ht="15.75" customHeight="1">
      <c r="B76" s="24"/>
      <c r="E76" s="25"/>
      <c r="I76" s="25"/>
      <c r="N76" s="25"/>
      <c r="S76" s="25"/>
    </row>
    <row r="77" ht="15.75" customHeight="1">
      <c r="B77" s="24"/>
      <c r="E77" s="25"/>
      <c r="I77" s="25"/>
      <c r="N77" s="25"/>
      <c r="S77" s="25"/>
    </row>
    <row r="78" ht="15.75" customHeight="1">
      <c r="B78" s="24"/>
      <c r="E78" s="25"/>
      <c r="I78" s="25"/>
      <c r="N78" s="25"/>
      <c r="S78" s="25"/>
    </row>
    <row r="79" ht="15.75" customHeight="1">
      <c r="B79" s="24"/>
      <c r="E79" s="25"/>
      <c r="I79" s="25"/>
      <c r="N79" s="25"/>
      <c r="S79" s="25"/>
    </row>
    <row r="80" ht="15.75" customHeight="1">
      <c r="B80" s="24"/>
      <c r="E80" s="25"/>
      <c r="I80" s="25"/>
      <c r="N80" s="25"/>
      <c r="S80" s="25"/>
    </row>
    <row r="81" ht="15.75" customHeight="1">
      <c r="B81" s="24"/>
      <c r="E81" s="25"/>
      <c r="I81" s="25"/>
      <c r="N81" s="25"/>
      <c r="S81" s="25"/>
    </row>
    <row r="82" ht="15.75" customHeight="1">
      <c r="B82" s="24"/>
      <c r="E82" s="25"/>
      <c r="I82" s="25"/>
      <c r="N82" s="25"/>
      <c r="S82" s="25"/>
    </row>
    <row r="83" ht="15.75" customHeight="1">
      <c r="B83" s="24"/>
      <c r="E83" s="25"/>
      <c r="I83" s="25"/>
      <c r="N83" s="25"/>
      <c r="S83" s="25"/>
    </row>
    <row r="84" ht="15.75" customHeight="1">
      <c r="B84" s="24"/>
      <c r="E84" s="25"/>
      <c r="I84" s="25"/>
      <c r="N84" s="25"/>
      <c r="S84" s="25"/>
    </row>
    <row r="85" ht="15.75" customHeight="1">
      <c r="B85" s="24"/>
      <c r="E85" s="25"/>
      <c r="I85" s="25"/>
      <c r="N85" s="25"/>
      <c r="S85" s="25"/>
    </row>
    <row r="86" ht="15.75" customHeight="1">
      <c r="B86" s="24"/>
      <c r="E86" s="25"/>
      <c r="I86" s="25"/>
      <c r="N86" s="25"/>
      <c r="S86" s="25"/>
    </row>
    <row r="87" ht="15.75" customHeight="1">
      <c r="B87" s="24"/>
      <c r="E87" s="25"/>
      <c r="I87" s="25"/>
      <c r="N87" s="25"/>
      <c r="S87" s="25"/>
    </row>
    <row r="88" ht="15.75" customHeight="1">
      <c r="B88" s="24"/>
      <c r="E88" s="25"/>
      <c r="I88" s="25"/>
      <c r="N88" s="25"/>
      <c r="S88" s="25"/>
    </row>
    <row r="89" ht="15.75" customHeight="1">
      <c r="B89" s="24"/>
      <c r="E89" s="25"/>
      <c r="I89" s="25"/>
      <c r="N89" s="25"/>
      <c r="S89" s="25"/>
    </row>
    <row r="90" ht="15.75" customHeight="1">
      <c r="B90" s="24"/>
      <c r="E90" s="25"/>
      <c r="I90" s="25"/>
      <c r="N90" s="25"/>
      <c r="S90" s="25"/>
    </row>
    <row r="91" ht="15.75" customHeight="1">
      <c r="B91" s="24"/>
      <c r="E91" s="25"/>
      <c r="I91" s="25"/>
      <c r="N91" s="25"/>
      <c r="S91" s="25"/>
    </row>
    <row r="92" ht="15.75" customHeight="1">
      <c r="B92" s="24"/>
      <c r="E92" s="25"/>
      <c r="I92" s="25"/>
      <c r="N92" s="25"/>
      <c r="S92" s="25"/>
    </row>
    <row r="93" ht="15.75" customHeight="1">
      <c r="B93" s="24"/>
      <c r="E93" s="25"/>
      <c r="I93" s="25"/>
      <c r="N93" s="25"/>
      <c r="S93" s="25"/>
    </row>
    <row r="94" ht="15.75" customHeight="1">
      <c r="B94" s="24"/>
      <c r="E94" s="25"/>
      <c r="I94" s="25"/>
      <c r="N94" s="25"/>
      <c r="S94" s="25"/>
    </row>
    <row r="95" ht="15.75" customHeight="1">
      <c r="B95" s="24"/>
      <c r="E95" s="25"/>
      <c r="I95" s="25"/>
      <c r="N95" s="25"/>
      <c r="S95" s="25"/>
    </row>
    <row r="96" ht="15.75" customHeight="1">
      <c r="B96" s="24"/>
      <c r="E96" s="25"/>
      <c r="I96" s="25"/>
      <c r="N96" s="25"/>
      <c r="S96" s="25"/>
    </row>
    <row r="97" ht="15.75" customHeight="1">
      <c r="B97" s="24"/>
      <c r="E97" s="25"/>
      <c r="I97" s="25"/>
      <c r="N97" s="25"/>
      <c r="S97" s="25"/>
    </row>
    <row r="98" ht="15.75" customHeight="1">
      <c r="B98" s="24"/>
      <c r="E98" s="25"/>
      <c r="I98" s="25"/>
      <c r="N98" s="25"/>
      <c r="S98" s="25"/>
    </row>
    <row r="99" ht="15.75" customHeight="1">
      <c r="B99" s="24"/>
      <c r="E99" s="25"/>
      <c r="I99" s="25"/>
      <c r="N99" s="25"/>
      <c r="S99" s="25"/>
    </row>
    <row r="100" ht="15.75" customHeight="1">
      <c r="B100" s="24"/>
      <c r="E100" s="25"/>
      <c r="I100" s="25"/>
      <c r="N100" s="25"/>
      <c r="S100" s="25"/>
    </row>
  </sheetData>
  <mergeCells count="4">
    <mergeCell ref="Q6:T6"/>
    <mergeCell ref="C6:F6"/>
    <mergeCell ref="G6:J6"/>
    <mergeCell ref="L6:O6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4.14"/>
    <col customWidth="1" min="3" max="3" width="10.57"/>
    <col customWidth="1" min="4" max="4" width="17.14"/>
    <col customWidth="1" min="5" max="5" width="14.14"/>
    <col customWidth="1" min="6" max="6" width="13.86"/>
    <col customWidth="1" min="7" max="7" width="12.71"/>
    <col customWidth="1" min="8" max="8" width="14.43"/>
    <col customWidth="1" min="9" max="9" width="15.0"/>
    <col customWidth="1" min="10" max="10" width="13.29"/>
    <col customWidth="1" min="11" max="11" width="12.0"/>
    <col customWidth="1" min="12" max="12" width="8.71"/>
    <col customWidth="1" min="13" max="13" width="13.86"/>
    <col customWidth="1" min="14" max="14" width="8.71"/>
  </cols>
  <sheetData>
    <row r="1">
      <c r="B1" s="69" t="s">
        <v>64</v>
      </c>
    </row>
    <row r="3">
      <c r="A3" s="70" t="s">
        <v>65</v>
      </c>
      <c r="B3" s="71" t="s">
        <v>66</v>
      </c>
      <c r="C3" s="72" t="s">
        <v>67</v>
      </c>
      <c r="D3" s="72" t="s">
        <v>68</v>
      </c>
      <c r="E3" s="71" t="s">
        <v>69</v>
      </c>
      <c r="F3" s="71" t="s">
        <v>70</v>
      </c>
      <c r="G3" s="72" t="s">
        <v>71</v>
      </c>
      <c r="H3" s="72" t="s">
        <v>72</v>
      </c>
      <c r="I3" s="73" t="s">
        <v>73</v>
      </c>
      <c r="J3" s="71" t="s">
        <v>74</v>
      </c>
      <c r="K3" s="71" t="s">
        <v>75</v>
      </c>
    </row>
    <row r="4">
      <c r="A4" s="70">
        <v>1.0</v>
      </c>
      <c r="B4" s="74" t="s">
        <v>76</v>
      </c>
      <c r="C4" s="75">
        <v>1.0</v>
      </c>
      <c r="D4" s="76">
        <v>37600.0</v>
      </c>
      <c r="E4" s="76">
        <v>37600.0</v>
      </c>
      <c r="F4" s="76">
        <v>36722.0</v>
      </c>
      <c r="G4" s="76" t="str">
        <f t="shared" ref="G4:H4" si="1">E4*30.2%</f>
        <v>11,355.20</v>
      </c>
      <c r="H4" s="76" t="str">
        <f t="shared" si="1"/>
        <v>11,090.04</v>
      </c>
      <c r="I4" s="77" t="str">
        <f t="shared" ref="I4:I9" si="4">(J4*11+K4)/2</f>
        <v>293,159.62</v>
      </c>
      <c r="J4" s="78" t="str">
        <f t="shared" ref="J4:K4" si="2">E4+G4</f>
        <v>48,955.20</v>
      </c>
      <c r="K4" s="78" t="str">
        <f t="shared" si="2"/>
        <v>47,812.04</v>
      </c>
    </row>
    <row r="5">
      <c r="A5" s="70">
        <v>2.0</v>
      </c>
      <c r="B5" s="74" t="s">
        <v>77</v>
      </c>
      <c r="C5" s="75">
        <v>3.0</v>
      </c>
      <c r="D5" s="76" t="s">
        <v>78</v>
      </c>
      <c r="E5" s="79">
        <v>75386.0</v>
      </c>
      <c r="F5" s="79">
        <v>73627.0</v>
      </c>
      <c r="G5" s="76" t="str">
        <f t="shared" ref="G5:H5" si="3">E5*30.2%</f>
        <v>22,766.57</v>
      </c>
      <c r="H5" s="76" t="str">
        <f t="shared" si="3"/>
        <v>22,235.35</v>
      </c>
      <c r="I5" s="77" t="str">
        <f t="shared" si="4"/>
        <v>587,770.32</v>
      </c>
      <c r="J5" s="78" t="str">
        <f t="shared" ref="J5:K5" si="5">E5+G5</f>
        <v>98,152.57</v>
      </c>
      <c r="K5" s="78" t="str">
        <f t="shared" si="5"/>
        <v>95,862.35</v>
      </c>
    </row>
    <row r="6">
      <c r="A6" s="70">
        <v>3.0</v>
      </c>
      <c r="B6" s="74" t="s">
        <v>79</v>
      </c>
      <c r="C6" s="75">
        <v>1.0</v>
      </c>
      <c r="D6" s="75">
        <v>25100.0</v>
      </c>
      <c r="E6" s="79">
        <v>25100.0</v>
      </c>
      <c r="F6" s="79">
        <v>24514.0</v>
      </c>
      <c r="G6" s="76" t="str">
        <f t="shared" ref="G6:H6" si="6">E6*30.2%</f>
        <v>7,580.20</v>
      </c>
      <c r="H6" s="76" t="str">
        <f t="shared" si="6"/>
        <v>7,403.23</v>
      </c>
      <c r="I6" s="77" t="str">
        <f t="shared" si="4"/>
        <v>195,699.71</v>
      </c>
      <c r="J6" s="78" t="str">
        <f t="shared" ref="J6:K6" si="7">E6+G6</f>
        <v>32,680.20</v>
      </c>
      <c r="K6" s="78" t="str">
        <f t="shared" si="7"/>
        <v>31,917.23</v>
      </c>
    </row>
    <row r="7">
      <c r="A7" s="70">
        <v>4.0</v>
      </c>
      <c r="B7" s="74" t="s">
        <v>80</v>
      </c>
      <c r="C7" s="75">
        <v>2.0</v>
      </c>
      <c r="D7" s="75">
        <v>21800.0</v>
      </c>
      <c r="E7" s="79" t="str">
        <f>C7*D7</f>
        <v>43600.00</v>
      </c>
      <c r="F7" s="79">
        <v>38225.0</v>
      </c>
      <c r="G7" s="76" t="str">
        <f t="shared" ref="G7:H7" si="8">E7*30.2%</f>
        <v>13,167.20</v>
      </c>
      <c r="H7" s="76" t="str">
        <f t="shared" si="8"/>
        <v>11,543.95</v>
      </c>
      <c r="I7" s="77" t="str">
        <f t="shared" si="4"/>
        <v>337,104.08</v>
      </c>
      <c r="J7" s="78" t="str">
        <f t="shared" ref="J7:K7" si="9">E7+G7</f>
        <v>56,767.20</v>
      </c>
      <c r="K7" s="78" t="str">
        <f t="shared" si="9"/>
        <v>49,768.95</v>
      </c>
    </row>
    <row r="8">
      <c r="A8" s="70">
        <v>5.0</v>
      </c>
      <c r="B8" s="74" t="s">
        <v>81</v>
      </c>
      <c r="C8" s="75">
        <v>0.5</v>
      </c>
      <c r="D8" s="79">
        <v>21800.0</v>
      </c>
      <c r="E8" s="79" t="str">
        <f>D8/2</f>
        <v>10900.00</v>
      </c>
      <c r="F8" s="79">
        <v>10645.0</v>
      </c>
      <c r="G8" s="76" t="str">
        <f t="shared" ref="G8:H8" si="10">E8*30.2%</f>
        <v>3,291.80</v>
      </c>
      <c r="H8" s="76" t="str">
        <f t="shared" si="10"/>
        <v>3,214.79</v>
      </c>
      <c r="I8" s="77" t="str">
        <f t="shared" si="4"/>
        <v>84,984.80</v>
      </c>
      <c r="J8" s="78" t="str">
        <f t="shared" ref="J8:K8" si="11">E8+G8</f>
        <v>14,191.80</v>
      </c>
      <c r="K8" s="78" t="str">
        <f t="shared" si="11"/>
        <v>13,859.79</v>
      </c>
    </row>
    <row r="9">
      <c r="A9" s="70">
        <v>6.0</v>
      </c>
      <c r="B9" s="80" t="s">
        <v>82</v>
      </c>
      <c r="C9" s="75">
        <v>1.0</v>
      </c>
      <c r="D9" s="79">
        <v>20000.0</v>
      </c>
      <c r="E9" s="79">
        <v>20000.0</v>
      </c>
      <c r="F9" s="79">
        <v>19533.0</v>
      </c>
      <c r="G9" s="76" t="str">
        <f t="shared" ref="G9:H9" si="12">E9*30.2%</f>
        <v>6,040.00</v>
      </c>
      <c r="H9" s="76" t="str">
        <f t="shared" si="12"/>
        <v>5,898.97</v>
      </c>
      <c r="I9" s="77" t="str">
        <f t="shared" si="4"/>
        <v>155,935.98</v>
      </c>
      <c r="J9" s="78" t="str">
        <f t="shared" ref="J9:K9" si="13">E9+G9</f>
        <v>26,040.00</v>
      </c>
      <c r="K9" s="78" t="str">
        <f t="shared" si="13"/>
        <v>25,431.97</v>
      </c>
    </row>
    <row r="10">
      <c r="A10" s="81"/>
      <c r="B10" s="82" t="s">
        <v>83</v>
      </c>
      <c r="C10" s="83" t="str">
        <f t="shared" ref="C10:I10" si="14">SUM(C4:C9)</f>
        <v>8.5</v>
      </c>
      <c r="D10" s="84" t="str">
        <f t="shared" si="14"/>
        <v>126300.00</v>
      </c>
      <c r="E10" s="84" t="str">
        <f t="shared" si="14"/>
        <v>212586.00</v>
      </c>
      <c r="F10" s="84" t="str">
        <f t="shared" si="14"/>
        <v>203266.00</v>
      </c>
      <c r="G10" s="84" t="str">
        <f t="shared" si="14"/>
        <v>64200.97</v>
      </c>
      <c r="H10" s="84" t="str">
        <f t="shared" si="14"/>
        <v>61386.33</v>
      </c>
      <c r="I10" s="85" t="str">
        <f t="shared" si="14"/>
        <v>1654654.51</v>
      </c>
      <c r="J10" s="85" t="str">
        <f>E10+G10</f>
        <v>276786.97</v>
      </c>
      <c r="K10" s="85" t="str">
        <f>SUM(K4:K9)</f>
        <v>264652.33</v>
      </c>
      <c r="L10" s="86"/>
      <c r="M10" s="86"/>
    </row>
    <row r="14">
      <c r="B14" s="69" t="s">
        <v>84</v>
      </c>
    </row>
    <row r="16">
      <c r="A16" s="70" t="s">
        <v>65</v>
      </c>
      <c r="B16" s="71" t="s">
        <v>66</v>
      </c>
      <c r="C16" s="72" t="s">
        <v>67</v>
      </c>
      <c r="D16" s="72" t="s">
        <v>68</v>
      </c>
      <c r="E16" s="71" t="s">
        <v>69</v>
      </c>
      <c r="F16" s="71" t="s">
        <v>70</v>
      </c>
      <c r="G16" s="72" t="s">
        <v>71</v>
      </c>
      <c r="H16" s="72" t="s">
        <v>72</v>
      </c>
      <c r="I16" s="73" t="s">
        <v>73</v>
      </c>
      <c r="J16" s="71" t="s">
        <v>74</v>
      </c>
      <c r="K16" s="71" t="s">
        <v>75</v>
      </c>
    </row>
    <row r="17">
      <c r="A17" s="70">
        <v>1.0</v>
      </c>
      <c r="B17" s="87" t="s">
        <v>76</v>
      </c>
      <c r="C17" s="75">
        <v>1.0</v>
      </c>
      <c r="D17" s="76">
        <v>37600.0</v>
      </c>
      <c r="E17" s="76">
        <v>37600.0</v>
      </c>
      <c r="F17" s="76">
        <v>36722.0</v>
      </c>
      <c r="G17" s="76" t="str">
        <f t="shared" ref="G17:H17" si="15">E17*30.2%</f>
        <v>11,355.20</v>
      </c>
      <c r="H17" s="76" t="str">
        <f t="shared" si="15"/>
        <v>11,090.04</v>
      </c>
      <c r="I17" s="77" t="str">
        <f t="shared" ref="I17:I19" si="18">(J17*11+K17)/2</f>
        <v>293,159.62</v>
      </c>
      <c r="J17" s="78" t="str">
        <f t="shared" ref="J17:K17" si="16">E17+G17</f>
        <v>48,955.20</v>
      </c>
      <c r="K17" s="78" t="str">
        <f t="shared" si="16"/>
        <v>47,812.04</v>
      </c>
    </row>
    <row r="18">
      <c r="A18" s="70">
        <v>2.0</v>
      </c>
      <c r="B18" s="87" t="s">
        <v>77</v>
      </c>
      <c r="C18" s="75">
        <v>3.0</v>
      </c>
      <c r="D18" s="76" t="s">
        <v>78</v>
      </c>
      <c r="E18" s="79">
        <v>75386.0</v>
      </c>
      <c r="F18" s="79">
        <v>73627.0</v>
      </c>
      <c r="G18" s="76" t="str">
        <f t="shared" ref="G18:H18" si="17">E18*30.2%</f>
        <v>22,766.57</v>
      </c>
      <c r="H18" s="76" t="str">
        <f t="shared" si="17"/>
        <v>22,235.35</v>
      </c>
      <c r="I18" s="77" t="str">
        <f t="shared" si="18"/>
        <v>587,770.32</v>
      </c>
      <c r="J18" s="78" t="str">
        <f t="shared" ref="J18:K18" si="19">E18+G18</f>
        <v>98,152.57</v>
      </c>
      <c r="K18" s="78" t="str">
        <f t="shared" si="19"/>
        <v>95,862.35</v>
      </c>
    </row>
    <row r="19">
      <c r="A19" s="70">
        <v>3.0</v>
      </c>
      <c r="B19" s="87" t="s">
        <v>79</v>
      </c>
      <c r="C19" s="75">
        <v>1.0</v>
      </c>
      <c r="D19" s="75">
        <v>25100.0</v>
      </c>
      <c r="E19" s="79">
        <v>25100.0</v>
      </c>
      <c r="F19" s="79">
        <v>24514.0</v>
      </c>
      <c r="G19" s="76" t="str">
        <f t="shared" ref="G19:H19" si="20">E19*30.2%</f>
        <v>7,580.20</v>
      </c>
      <c r="H19" s="76" t="str">
        <f t="shared" si="20"/>
        <v>7,403.23</v>
      </c>
      <c r="I19" s="77" t="str">
        <f t="shared" si="18"/>
        <v>195,699.71</v>
      </c>
      <c r="J19" s="78" t="str">
        <f t="shared" ref="J19:K19" si="21">E19+G19</f>
        <v>32,680.20</v>
      </c>
      <c r="K19" s="78" t="str">
        <f t="shared" si="21"/>
        <v>31,917.23</v>
      </c>
    </row>
    <row r="20">
      <c r="A20" s="81"/>
      <c r="B20" s="82" t="s">
        <v>83</v>
      </c>
      <c r="C20" s="83" t="str">
        <f t="shared" ref="C20:I20" si="22">SUM(C17:C19)</f>
        <v>5</v>
      </c>
      <c r="D20" s="84" t="str">
        <f t="shared" si="22"/>
        <v>62700.00</v>
      </c>
      <c r="E20" s="84" t="str">
        <f t="shared" si="22"/>
        <v>138086.00</v>
      </c>
      <c r="F20" s="84" t="str">
        <f t="shared" si="22"/>
        <v>134863.00</v>
      </c>
      <c r="G20" s="84" t="str">
        <f t="shared" si="22"/>
        <v>41701.97</v>
      </c>
      <c r="H20" s="84" t="str">
        <f t="shared" si="22"/>
        <v>40728.63</v>
      </c>
      <c r="I20" s="85" t="str">
        <f t="shared" si="22"/>
        <v>1076629.66</v>
      </c>
      <c r="J20" s="85" t="str">
        <f>E20+G20</f>
        <v>179787.97</v>
      </c>
      <c r="K20" s="85" t="str">
        <f>SUM(K17:K19)</f>
        <v>175591.63</v>
      </c>
    </row>
    <row r="21" ht="15.75" customHeight="1"/>
    <row r="22" ht="15.75" customHeight="1"/>
    <row r="23" ht="15.75" customHeight="1">
      <c r="B23" s="88" t="s">
        <v>85</v>
      </c>
      <c r="C23" s="89" t="str">
        <f>I10+I20</f>
        <v>2731284.17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B14:J14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TotalTime>720</TotalTime>
  <ScaleCrop>false</ScaleCrop>
  <HeadingPairs>
    <vt:vector baseType="variant" size="2">
      <vt:variant>
        <vt:lpstr>Листы</vt:lpstr>
      </vt:variant>
      <vt:variant>
        <vt:i4>4</vt:i4>
      </vt:variant>
    </vt:vector>
  </HeadingPairs>
  <TitlesOfParts>
    <vt:vector baseType="lpstr" size="4">
      <vt:lpstr>2024 1 полугодие</vt:lpstr>
      <vt:lpstr>Лист2</vt:lpstr>
      <vt:lpstr>Лист1</vt:lpstr>
      <vt:lpstr>ФОТ_2024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2015-09-01T20:04:31Z</dcterms:created>
  <dc:creator>User</dc:creator>
  <dc:language>ru-RU</dc:language>
  <cp:lastModifiedBy>Татьяна Климовская</cp:lastModifiedBy>
  <cp:lastPrinted>2024-08-06T16:55:59Z</cp:lastPrinted>
  <dcterms:modified xsi:type="dcterms:W3CDTF">2025-04-14T07:04:05Z</dcterms:modified>
  <cp:revision>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